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michiganstate-my.sharepoint.com/personal/laportej_msu_edu/Documents/Documents/Teams &amp; Workgroups/Field Crops Team/Crop Projection Budgets/2026 Corn Projection/"/>
    </mc:Choice>
  </mc:AlternateContent>
  <xr:revisionPtr revIDLastSave="787" documentId="8_{587D2F43-7C9C-4F7B-BB5E-A21B6BC8161C}" xr6:coauthVersionLast="47" xr6:coauthVersionMax="47" xr10:uidLastSave="{016BA63D-C672-4286-8D76-C7FBB399D248}"/>
  <workbookProtection workbookAlgorithmName="SHA-512" workbookHashValue="ZT59Qd6VFmD5I41cOrqNoGo79OXzGLpZ6k7feU9dNEb5Mq9R/DUXOwV3r9TpXveIb5M7U4ycilxtycHThf0loA==" workbookSaltValue="IfQoHUMvLa+NUkpYuQwjaA==" workbookSpinCount="100000" lockStructure="1"/>
  <bookViews>
    <workbookView xWindow="-120" yWindow="-120" windowWidth="29040" windowHeight="15720" tabRatio="946" xr2:uid="{00000000-000D-0000-FFFF-FFFF00000000}"/>
  </bookViews>
  <sheets>
    <sheet name="Instructions" sheetId="29" r:id="rId1"/>
    <sheet name="Non-Irrigated Base" sheetId="22" r:id="rId2"/>
    <sheet name="Non-Irrigated Build-Up" sheetId="32" r:id="rId3"/>
    <sheet name="Non-Irrigated Push Production" sheetId="33" r:id="rId4"/>
    <sheet name="Irrigated Base" sheetId="36" r:id="rId5"/>
    <sheet name="Irrigated Build-Up" sheetId="38" r:id="rId6"/>
    <sheet name="Irrigated Push Production" sheetId="40" r:id="rId7"/>
    <sheet name="MRTN Chart" sheetId="42" r:id="rId8"/>
    <sheet name="Manure" sheetId="28" state="hidden" r:id="rId9"/>
    <sheet name="Fertilizer (Base)" sheetId="27" state="hidden" r:id="rId10"/>
    <sheet name="Fertilizer (Irrigated)" sheetId="37" state="hidden" r:id="rId11"/>
    <sheet name="Fertilizer (Build Non-Irr)" sheetId="34" state="hidden" r:id="rId12"/>
    <sheet name="Fertilizer (Build Irrigated)" sheetId="39" state="hidden" r:id="rId13"/>
    <sheet name="Fertilizer (Push Non-Irrigated)" sheetId="35" state="hidden" r:id="rId14"/>
    <sheet name="Fertilizer (Push Irrigated)" sheetId="41" state="hidden" r:id="rId15"/>
    <sheet name="Chart Data" sheetId="23" state="hidden" r:id="rId16"/>
    <sheet name="Chemical Master List" sheetId="4" state="hidden" r:id="rId17"/>
  </sheets>
  <definedNames>
    <definedName name="_xlnm.Print_Area" localSheetId="0">Instructions!$A$1:$K$66</definedName>
    <definedName name="_xlnm.Print_Area" localSheetId="4">'Irrigated Base'!$A$1:$F$62,'Irrigated Base'!$I$3:$M$38,'Irrigated Base'!$I$40:$M$78</definedName>
    <definedName name="_xlnm.Print_Area" localSheetId="5">'Irrigated Build-Up'!$A$1:$F$62,'Irrigated Build-Up'!$I$4:$M$38,'Irrigated Build-Up'!$I$40:$M$78</definedName>
    <definedName name="_xlnm.Print_Area" localSheetId="6">'Irrigated Push Production'!$A$1:$F$62,'Irrigated Push Production'!$I$4:$M$38,'Irrigated Push Production'!$I$40:$M$78</definedName>
    <definedName name="_xlnm.Print_Area" localSheetId="1">'Non-Irrigated Base'!$A$1:$F$62,'Non-Irrigated Base'!$I$3:$M$38,'Non-Irrigated Base'!$I$40:$M$78</definedName>
    <definedName name="_xlnm.Print_Area" localSheetId="2">'Non-Irrigated Build-Up'!$A$1:$F$62,'Non-Irrigated Build-Up'!$I$3:$M$38,'Non-Irrigated Build-Up'!$I$40:$M$78</definedName>
    <definedName name="_xlnm.Print_Area" localSheetId="3">'Non-Irrigated Push Production'!$A$1:$F$62,'Non-Irrigated Push Production'!$I$4:$M$38,'Non-Irrigated Push Production'!$I$40:$M$78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36" l="1"/>
  <c r="E21" i="32" l="1"/>
  <c r="M76" i="40"/>
  <c r="M75" i="40"/>
  <c r="M76" i="38"/>
  <c r="M75" i="38"/>
  <c r="M76" i="36"/>
  <c r="M75" i="36"/>
  <c r="M32" i="40"/>
  <c r="M32" i="38"/>
  <c r="M32" i="36"/>
  <c r="M76" i="33"/>
  <c r="M75" i="33"/>
  <c r="M32" i="33"/>
  <c r="M76" i="32"/>
  <c r="M75" i="32"/>
  <c r="M32" i="32"/>
  <c r="M32" i="22"/>
  <c r="M75" i="22"/>
  <c r="M76" i="22"/>
  <c r="T19" i="28"/>
  <c r="H21" i="28"/>
  <c r="R21" i="28"/>
  <c r="S21" i="28" s="1"/>
  <c r="R19" i="28"/>
  <c r="U19" i="28" s="1"/>
  <c r="L21" i="28"/>
  <c r="M21" i="28" s="1"/>
  <c r="L19" i="28"/>
  <c r="M19" i="28" s="1"/>
  <c r="F21" i="28"/>
  <c r="I21" i="28" s="1"/>
  <c r="F19" i="28"/>
  <c r="H19" i="28" s="1"/>
  <c r="R10" i="28"/>
  <c r="T10" i="28" s="1"/>
  <c r="V24" i="33" s="1"/>
  <c r="R8" i="28"/>
  <c r="T8" i="28" s="1"/>
  <c r="V19" i="33" s="1"/>
  <c r="L10" i="28"/>
  <c r="N10" i="28" s="1"/>
  <c r="V24" i="32" s="1"/>
  <c r="L8" i="28"/>
  <c r="M8" i="28" s="1"/>
  <c r="U19" i="32" s="1"/>
  <c r="F10" i="28"/>
  <c r="F8" i="28"/>
  <c r="H46" i="41"/>
  <c r="H41" i="41"/>
  <c r="H34" i="41"/>
  <c r="H29" i="41"/>
  <c r="I21" i="41"/>
  <c r="G21" i="41"/>
  <c r="H21" i="41" s="1"/>
  <c r="I20" i="41"/>
  <c r="I19" i="41"/>
  <c r="I18" i="41"/>
  <c r="G18" i="41"/>
  <c r="H18" i="41" s="1"/>
  <c r="J18" i="41" s="1"/>
  <c r="M24" i="40" s="1"/>
  <c r="I17" i="41"/>
  <c r="G17" i="41"/>
  <c r="H17" i="41" s="1"/>
  <c r="I16" i="41"/>
  <c r="I15" i="41"/>
  <c r="I14" i="41"/>
  <c r="G14" i="41"/>
  <c r="J14" i="41" s="1"/>
  <c r="I11" i="41"/>
  <c r="I10" i="41"/>
  <c r="I9" i="41"/>
  <c r="I8" i="41"/>
  <c r="G8" i="41"/>
  <c r="J8" i="41" s="1"/>
  <c r="M22" i="40" s="1"/>
  <c r="I7" i="41"/>
  <c r="G7" i="41"/>
  <c r="J7" i="41" s="1"/>
  <c r="M18" i="40" s="1"/>
  <c r="I6" i="41"/>
  <c r="G6" i="41"/>
  <c r="H6" i="41" s="1"/>
  <c r="I5" i="41"/>
  <c r="G5" i="41"/>
  <c r="J5" i="41" s="1"/>
  <c r="M16" i="40" s="1"/>
  <c r="I4" i="41"/>
  <c r="G4" i="41"/>
  <c r="H4" i="41" s="1"/>
  <c r="N45" i="41"/>
  <c r="N46" i="41" s="1"/>
  <c r="M45" i="41"/>
  <c r="G41" i="41"/>
  <c r="F41" i="41"/>
  <c r="N40" i="41"/>
  <c r="N41" i="41" s="1"/>
  <c r="M40" i="41"/>
  <c r="M41" i="41" s="1"/>
  <c r="G34" i="41"/>
  <c r="F34" i="41"/>
  <c r="N32" i="41"/>
  <c r="N33" i="41" s="1"/>
  <c r="M32" i="41"/>
  <c r="M33" i="41" s="1"/>
  <c r="G29" i="41"/>
  <c r="F29" i="41"/>
  <c r="N27" i="41"/>
  <c r="N28" i="41" s="1"/>
  <c r="M27" i="41"/>
  <c r="M28" i="41" s="1"/>
  <c r="P23" i="41" s="1"/>
  <c r="P22" i="41"/>
  <c r="L21" i="41"/>
  <c r="L20" i="41"/>
  <c r="L19" i="41"/>
  <c r="L18" i="41"/>
  <c r="L17" i="41"/>
  <c r="L16" i="41"/>
  <c r="L15" i="41"/>
  <c r="L14" i="41"/>
  <c r="L11" i="41"/>
  <c r="L10" i="41"/>
  <c r="L9" i="41"/>
  <c r="L8" i="41"/>
  <c r="L7" i="41"/>
  <c r="L6" i="41"/>
  <c r="L5" i="41"/>
  <c r="L4" i="41"/>
  <c r="M72" i="40"/>
  <c r="M71" i="40"/>
  <c r="M70" i="40"/>
  <c r="M69" i="40"/>
  <c r="M68" i="40"/>
  <c r="M67" i="40"/>
  <c r="M66" i="40"/>
  <c r="M64" i="40"/>
  <c r="M63" i="40"/>
  <c r="M62" i="40"/>
  <c r="M57" i="40"/>
  <c r="M56" i="40"/>
  <c r="M55" i="40"/>
  <c r="F51" i="40"/>
  <c r="E51" i="40"/>
  <c r="M54" i="40"/>
  <c r="F50" i="40"/>
  <c r="M53" i="40"/>
  <c r="F49" i="40"/>
  <c r="M52" i="40"/>
  <c r="F48" i="40"/>
  <c r="M51" i="40"/>
  <c r="F47" i="40"/>
  <c r="F46" i="40"/>
  <c r="M49" i="40"/>
  <c r="F45" i="40"/>
  <c r="M48" i="40"/>
  <c r="F44" i="40"/>
  <c r="M47" i="40"/>
  <c r="M46" i="40"/>
  <c r="M45" i="40"/>
  <c r="F39" i="40"/>
  <c r="F38" i="40"/>
  <c r="F37" i="40"/>
  <c r="F36" i="40"/>
  <c r="F35" i="40"/>
  <c r="F34" i="40"/>
  <c r="F33" i="40"/>
  <c r="F32" i="40"/>
  <c r="F31" i="40"/>
  <c r="F30" i="40"/>
  <c r="M29" i="40"/>
  <c r="F29" i="40"/>
  <c r="M28" i="40"/>
  <c r="F28" i="40"/>
  <c r="M27" i="40"/>
  <c r="F27" i="40"/>
  <c r="F26" i="40"/>
  <c r="F25" i="40"/>
  <c r="F24" i="40"/>
  <c r="F23" i="40"/>
  <c r="O22" i="40"/>
  <c r="P22" i="40" s="1"/>
  <c r="F22" i="40"/>
  <c r="E15" i="40"/>
  <c r="M7" i="40"/>
  <c r="E19" i="40" s="1"/>
  <c r="H46" i="39"/>
  <c r="H41" i="39"/>
  <c r="H34" i="39"/>
  <c r="H29" i="39"/>
  <c r="I21" i="39"/>
  <c r="G21" i="39"/>
  <c r="H21" i="39" s="1"/>
  <c r="I20" i="39"/>
  <c r="I19" i="39"/>
  <c r="I18" i="39"/>
  <c r="G18" i="39"/>
  <c r="H18" i="39" s="1"/>
  <c r="I17" i="39"/>
  <c r="G17" i="39"/>
  <c r="H17" i="39" s="1"/>
  <c r="I16" i="39"/>
  <c r="I15" i="39"/>
  <c r="I14" i="39"/>
  <c r="G14" i="39"/>
  <c r="J14" i="39" s="1"/>
  <c r="I11" i="39"/>
  <c r="I10" i="39"/>
  <c r="I9" i="39"/>
  <c r="I8" i="39"/>
  <c r="G8" i="39"/>
  <c r="J8" i="39" s="1"/>
  <c r="M22" i="38" s="1"/>
  <c r="I7" i="39"/>
  <c r="G7" i="39"/>
  <c r="J7" i="39" s="1"/>
  <c r="M18" i="38" s="1"/>
  <c r="I6" i="39"/>
  <c r="G6" i="39"/>
  <c r="H6" i="39" s="1"/>
  <c r="I5" i="39"/>
  <c r="G5" i="39"/>
  <c r="J5" i="39" s="1"/>
  <c r="M16" i="38" s="1"/>
  <c r="I4" i="39"/>
  <c r="G4" i="39"/>
  <c r="H4" i="39" s="1"/>
  <c r="N45" i="39"/>
  <c r="N46" i="39" s="1"/>
  <c r="M45" i="39"/>
  <c r="G41" i="39"/>
  <c r="F41" i="39"/>
  <c r="N40" i="39"/>
  <c r="N41" i="39" s="1"/>
  <c r="M40" i="39"/>
  <c r="M41" i="39" s="1"/>
  <c r="G34" i="39"/>
  <c r="F34" i="39"/>
  <c r="N32" i="39"/>
  <c r="N33" i="39" s="1"/>
  <c r="M32" i="39"/>
  <c r="M33" i="39" s="1"/>
  <c r="G29" i="39"/>
  <c r="F29" i="39"/>
  <c r="N27" i="39"/>
  <c r="N28" i="39" s="1"/>
  <c r="M27" i="39"/>
  <c r="M28" i="39" s="1"/>
  <c r="P22" i="39"/>
  <c r="L21" i="39"/>
  <c r="L20" i="39"/>
  <c r="L19" i="39"/>
  <c r="L18" i="39"/>
  <c r="L17" i="39"/>
  <c r="L16" i="39"/>
  <c r="L15" i="39"/>
  <c r="L14" i="39"/>
  <c r="L11" i="39"/>
  <c r="L10" i="39"/>
  <c r="L9" i="39"/>
  <c r="L8" i="39"/>
  <c r="L7" i="39"/>
  <c r="L6" i="39"/>
  <c r="L5" i="39"/>
  <c r="L4" i="39"/>
  <c r="M72" i="38"/>
  <c r="M71" i="38"/>
  <c r="M70" i="38"/>
  <c r="M69" i="38"/>
  <c r="M68" i="38"/>
  <c r="M67" i="38"/>
  <c r="M66" i="38"/>
  <c r="M64" i="38"/>
  <c r="M63" i="38"/>
  <c r="M62" i="38"/>
  <c r="M57" i="38"/>
  <c r="M56" i="38"/>
  <c r="M55" i="38"/>
  <c r="F51" i="38"/>
  <c r="E51" i="38"/>
  <c r="M54" i="38"/>
  <c r="F50" i="38"/>
  <c r="M53" i="38"/>
  <c r="F49" i="38"/>
  <c r="M52" i="38"/>
  <c r="F48" i="38"/>
  <c r="M51" i="38"/>
  <c r="F47" i="38"/>
  <c r="F46" i="38"/>
  <c r="M49" i="38"/>
  <c r="F45" i="38"/>
  <c r="M48" i="38"/>
  <c r="F44" i="38"/>
  <c r="M47" i="38"/>
  <c r="M46" i="38"/>
  <c r="M45" i="38"/>
  <c r="F39" i="38"/>
  <c r="F38" i="38"/>
  <c r="F37" i="38"/>
  <c r="F36" i="38"/>
  <c r="F35" i="38"/>
  <c r="F34" i="38"/>
  <c r="F33" i="38"/>
  <c r="F32" i="38"/>
  <c r="F31" i="38"/>
  <c r="F30" i="38"/>
  <c r="M29" i="38"/>
  <c r="F29" i="38"/>
  <c r="M28" i="38"/>
  <c r="F28" i="38"/>
  <c r="M27" i="38"/>
  <c r="F27" i="38"/>
  <c r="F26" i="38"/>
  <c r="F25" i="38"/>
  <c r="F24" i="38"/>
  <c r="F23" i="38"/>
  <c r="O22" i="38"/>
  <c r="P22" i="38" s="1"/>
  <c r="F22" i="38"/>
  <c r="E15" i="38"/>
  <c r="M7" i="38"/>
  <c r="E19" i="38" s="1"/>
  <c r="F19" i="38" s="1"/>
  <c r="H46" i="37"/>
  <c r="H41" i="37"/>
  <c r="H34" i="37"/>
  <c r="H29" i="37"/>
  <c r="I21" i="37"/>
  <c r="G21" i="37"/>
  <c r="H21" i="37" s="1"/>
  <c r="I20" i="37"/>
  <c r="I19" i="37"/>
  <c r="I18" i="37"/>
  <c r="G18" i="37"/>
  <c r="H18" i="37" s="1"/>
  <c r="I17" i="37"/>
  <c r="G17" i="37"/>
  <c r="H17" i="37" s="1"/>
  <c r="I16" i="37"/>
  <c r="I15" i="37"/>
  <c r="I14" i="37"/>
  <c r="G14" i="37"/>
  <c r="J14" i="37" s="1"/>
  <c r="I11" i="37"/>
  <c r="I10" i="37"/>
  <c r="I9" i="37"/>
  <c r="I8" i="37"/>
  <c r="G8" i="37"/>
  <c r="J8" i="37" s="1"/>
  <c r="M22" i="36" s="1"/>
  <c r="I7" i="37"/>
  <c r="G7" i="37"/>
  <c r="J7" i="37" s="1"/>
  <c r="M18" i="36" s="1"/>
  <c r="I6" i="37"/>
  <c r="G6" i="37"/>
  <c r="H6" i="37" s="1"/>
  <c r="I5" i="37"/>
  <c r="G5" i="37"/>
  <c r="J5" i="37" s="1"/>
  <c r="M16" i="36" s="1"/>
  <c r="I4" i="37"/>
  <c r="G4" i="37"/>
  <c r="H4" i="37" s="1"/>
  <c r="N45" i="37"/>
  <c r="N46" i="37" s="1"/>
  <c r="M45" i="37"/>
  <c r="G41" i="37"/>
  <c r="N40" i="37" s="1"/>
  <c r="N41" i="37" s="1"/>
  <c r="F41" i="37"/>
  <c r="M40" i="37"/>
  <c r="M41" i="37" s="1"/>
  <c r="G34" i="37"/>
  <c r="F34" i="37"/>
  <c r="M33" i="37"/>
  <c r="N32" i="37"/>
  <c r="M32" i="37"/>
  <c r="N33" i="37" s="1"/>
  <c r="G29" i="37"/>
  <c r="F29" i="37"/>
  <c r="N27" i="37"/>
  <c r="M28" i="37" s="1"/>
  <c r="M27" i="37"/>
  <c r="P22" i="37"/>
  <c r="L21" i="37"/>
  <c r="L20" i="37"/>
  <c r="L19" i="37"/>
  <c r="L18" i="37"/>
  <c r="L17" i="37"/>
  <c r="L16" i="37"/>
  <c r="L15" i="37"/>
  <c r="L14" i="37"/>
  <c r="L11" i="37"/>
  <c r="L10" i="37"/>
  <c r="L9" i="37"/>
  <c r="L8" i="37"/>
  <c r="L7" i="37"/>
  <c r="L6" i="37"/>
  <c r="L5" i="37"/>
  <c r="L4" i="37"/>
  <c r="M72" i="36"/>
  <c r="M71" i="36"/>
  <c r="M70" i="36"/>
  <c r="M69" i="36"/>
  <c r="M68" i="36"/>
  <c r="M67" i="36"/>
  <c r="M66" i="36"/>
  <c r="M64" i="36"/>
  <c r="M63" i="36"/>
  <c r="M62" i="36"/>
  <c r="M57" i="36"/>
  <c r="M56" i="36"/>
  <c r="M55" i="36"/>
  <c r="F51" i="36"/>
  <c r="E51" i="36"/>
  <c r="M54" i="36"/>
  <c r="F50" i="36"/>
  <c r="M53" i="36"/>
  <c r="F49" i="36"/>
  <c r="M52" i="36"/>
  <c r="F48" i="36"/>
  <c r="M51" i="36"/>
  <c r="F47" i="36"/>
  <c r="F46" i="36"/>
  <c r="M49" i="36"/>
  <c r="F45" i="36"/>
  <c r="M48" i="36"/>
  <c r="F44" i="36"/>
  <c r="M47" i="36"/>
  <c r="M46" i="36"/>
  <c r="M45" i="36"/>
  <c r="F39" i="36"/>
  <c r="F38" i="36"/>
  <c r="F37" i="36"/>
  <c r="F36" i="36"/>
  <c r="F35" i="36"/>
  <c r="F34" i="36"/>
  <c r="F33" i="36"/>
  <c r="F32" i="36"/>
  <c r="F31" i="36"/>
  <c r="F30" i="36"/>
  <c r="M29" i="36"/>
  <c r="F29" i="36"/>
  <c r="M28" i="36"/>
  <c r="F28" i="36"/>
  <c r="M27" i="36"/>
  <c r="F27" i="36"/>
  <c r="F26" i="36"/>
  <c r="F25" i="36"/>
  <c r="F24" i="36"/>
  <c r="F23" i="36"/>
  <c r="O22" i="36"/>
  <c r="P22" i="36" s="1"/>
  <c r="F22" i="36"/>
  <c r="E15" i="36"/>
  <c r="M7" i="36"/>
  <c r="E19" i="36" s="1"/>
  <c r="M78" i="38" l="1"/>
  <c r="E21" i="38" s="1"/>
  <c r="V21" i="28"/>
  <c r="M78" i="40"/>
  <c r="E21" i="40" s="1"/>
  <c r="F21" i="40" s="1"/>
  <c r="T21" i="28"/>
  <c r="U21" i="28"/>
  <c r="G21" i="28"/>
  <c r="P5" i="37"/>
  <c r="M78" i="36"/>
  <c r="E21" i="36" s="1"/>
  <c r="F21" i="36" s="1"/>
  <c r="R5" i="37"/>
  <c r="Q5" i="37"/>
  <c r="J19" i="28"/>
  <c r="J21" i="37"/>
  <c r="M26" i="36" s="1"/>
  <c r="I19" i="28"/>
  <c r="J21" i="28"/>
  <c r="Q5" i="41"/>
  <c r="K37" i="40" s="1"/>
  <c r="V19" i="28"/>
  <c r="S19" i="28"/>
  <c r="P5" i="41"/>
  <c r="J37" i="40" s="1"/>
  <c r="S5" i="41"/>
  <c r="M37" i="40" s="1"/>
  <c r="S10" i="28"/>
  <c r="U24" i="33" s="1"/>
  <c r="S8" i="28"/>
  <c r="U19" i="33" s="1"/>
  <c r="V8" i="28"/>
  <c r="X19" i="33" s="1"/>
  <c r="U8" i="28"/>
  <c r="W19" i="33" s="1"/>
  <c r="V10" i="28"/>
  <c r="X24" i="33" s="1"/>
  <c r="U10" i="28"/>
  <c r="W24" i="33" s="1"/>
  <c r="N8" i="28"/>
  <c r="V19" i="32" s="1"/>
  <c r="P10" i="28"/>
  <c r="X24" i="32" s="1"/>
  <c r="M10" i="28"/>
  <c r="U24" i="32" s="1"/>
  <c r="O10" i="28"/>
  <c r="W24" i="32" s="1"/>
  <c r="P8" i="28"/>
  <c r="X19" i="32" s="1"/>
  <c r="O8" i="28"/>
  <c r="W19" i="32" s="1"/>
  <c r="F21" i="38"/>
  <c r="R5" i="39"/>
  <c r="L37" i="38" s="1"/>
  <c r="S5" i="39"/>
  <c r="M37" i="38" s="1"/>
  <c r="P19" i="28"/>
  <c r="O19" i="28"/>
  <c r="P21" i="28"/>
  <c r="O21" i="28"/>
  <c r="N21" i="28"/>
  <c r="P5" i="39"/>
  <c r="J37" i="38" s="1"/>
  <c r="Q5" i="39"/>
  <c r="K37" i="38" s="1"/>
  <c r="N19" i="28"/>
  <c r="G19" i="28"/>
  <c r="J6" i="41"/>
  <c r="M17" i="40" s="1"/>
  <c r="F42" i="41"/>
  <c r="F43" i="41" s="1"/>
  <c r="F30" i="41"/>
  <c r="F31" i="41" s="1"/>
  <c r="F35" i="41"/>
  <c r="F36" i="41" s="1"/>
  <c r="J4" i="41"/>
  <c r="M19" i="40" s="1"/>
  <c r="J17" i="41"/>
  <c r="M23" i="40" s="1"/>
  <c r="J21" i="41"/>
  <c r="M26" i="40" s="1"/>
  <c r="R5" i="41"/>
  <c r="L37" i="40" s="1"/>
  <c r="M46" i="41"/>
  <c r="H7" i="41" s="1"/>
  <c r="F19" i="40"/>
  <c r="J4" i="39"/>
  <c r="M19" i="38" s="1"/>
  <c r="J17" i="39"/>
  <c r="M23" i="38" s="1"/>
  <c r="P23" i="39"/>
  <c r="J6" i="39"/>
  <c r="M17" i="38" s="1"/>
  <c r="H7" i="39"/>
  <c r="F42" i="39"/>
  <c r="F43" i="39" s="1"/>
  <c r="F35" i="39"/>
  <c r="F36" i="39" s="1"/>
  <c r="F30" i="39"/>
  <c r="F31" i="39" s="1"/>
  <c r="J18" i="39"/>
  <c r="M24" i="38" s="1"/>
  <c r="J21" i="39"/>
  <c r="M26" i="38" s="1"/>
  <c r="M46" i="39"/>
  <c r="J6" i="37"/>
  <c r="M17" i="36" s="1"/>
  <c r="F42" i="37"/>
  <c r="F43" i="37" s="1"/>
  <c r="J4" i="37"/>
  <c r="M19" i="36" s="1"/>
  <c r="F30" i="37"/>
  <c r="F31" i="37" s="1"/>
  <c r="F35" i="37"/>
  <c r="F36" i="37" s="1"/>
  <c r="J17" i="37"/>
  <c r="M23" i="36" s="1"/>
  <c r="P23" i="37"/>
  <c r="S5" i="37"/>
  <c r="M46" i="37"/>
  <c r="H7" i="37" s="1"/>
  <c r="N28" i="37"/>
  <c r="J18" i="37"/>
  <c r="M24" i="36" s="1"/>
  <c r="F19" i="36"/>
  <c r="G36" i="41" l="1"/>
  <c r="G10" i="41"/>
  <c r="G9" i="41"/>
  <c r="G43" i="41"/>
  <c r="G11" i="41"/>
  <c r="H11" i="41" s="1"/>
  <c r="G31" i="41"/>
  <c r="G9" i="39"/>
  <c r="G36" i="39"/>
  <c r="H36" i="39" s="1"/>
  <c r="I36" i="39" s="1"/>
  <c r="G10" i="39"/>
  <c r="G43" i="39"/>
  <c r="H43" i="39"/>
  <c r="G11" i="39"/>
  <c r="H11" i="39" s="1"/>
  <c r="G31" i="39"/>
  <c r="G10" i="37"/>
  <c r="G36" i="37"/>
  <c r="G9" i="37"/>
  <c r="G43" i="37"/>
  <c r="G11" i="37"/>
  <c r="H11" i="37" s="1"/>
  <c r="G31" i="37"/>
  <c r="G15" i="41" l="1"/>
  <c r="G30" i="41"/>
  <c r="F47" i="41"/>
  <c r="F48" i="41" s="1"/>
  <c r="J11" i="41"/>
  <c r="G42" i="41"/>
  <c r="G20" i="41"/>
  <c r="H20" i="41" s="1"/>
  <c r="J20" i="41" s="1"/>
  <c r="H43" i="41"/>
  <c r="H31" i="41"/>
  <c r="I31" i="41" s="1"/>
  <c r="G35" i="41"/>
  <c r="G16" i="41"/>
  <c r="H36" i="41"/>
  <c r="I36" i="41" s="1"/>
  <c r="G15" i="39"/>
  <c r="G30" i="39"/>
  <c r="F47" i="39"/>
  <c r="F48" i="39" s="1"/>
  <c r="J11" i="39"/>
  <c r="G20" i="39"/>
  <c r="H20" i="39" s="1"/>
  <c r="J20" i="39" s="1"/>
  <c r="G42" i="39"/>
  <c r="H16" i="39"/>
  <c r="J16" i="39" s="1"/>
  <c r="H10" i="39"/>
  <c r="J10" i="39" s="1"/>
  <c r="M21" i="38" s="1"/>
  <c r="G16" i="39"/>
  <c r="G35" i="39"/>
  <c r="H31" i="39"/>
  <c r="I31" i="39" s="1"/>
  <c r="G42" i="37"/>
  <c r="G20" i="37"/>
  <c r="H20" i="37" s="1"/>
  <c r="J20" i="37" s="1"/>
  <c r="G16" i="37"/>
  <c r="G35" i="37"/>
  <c r="G15" i="37"/>
  <c r="G30" i="37"/>
  <c r="F47" i="37"/>
  <c r="F48" i="37" s="1"/>
  <c r="J11" i="37"/>
  <c r="H43" i="37"/>
  <c r="H31" i="37"/>
  <c r="I31" i="37" s="1"/>
  <c r="H36" i="37"/>
  <c r="I36" i="37" s="1"/>
  <c r="M25" i="40" l="1"/>
  <c r="M25" i="36"/>
  <c r="M25" i="38"/>
  <c r="H15" i="41"/>
  <c r="J15" i="41" s="1"/>
  <c r="H9" i="41"/>
  <c r="J9" i="41" s="1"/>
  <c r="M20" i="40" s="1"/>
  <c r="H10" i="41"/>
  <c r="J10" i="41" s="1"/>
  <c r="H16" i="41"/>
  <c r="J16" i="41" s="1"/>
  <c r="G48" i="41"/>
  <c r="H9" i="39"/>
  <c r="J9" i="39" s="1"/>
  <c r="H15" i="39"/>
  <c r="J15" i="39" s="1"/>
  <c r="G48" i="39"/>
  <c r="H15" i="37"/>
  <c r="J15" i="37" s="1"/>
  <c r="H9" i="37"/>
  <c r="J9" i="37" s="1"/>
  <c r="H10" i="37"/>
  <c r="J10" i="37" s="1"/>
  <c r="H16" i="37"/>
  <c r="J16" i="37" s="1"/>
  <c r="G48" i="37"/>
  <c r="M34" i="40" l="1"/>
  <c r="E20" i="40" s="1"/>
  <c r="M21" i="40"/>
  <c r="M21" i="36"/>
  <c r="M20" i="36"/>
  <c r="J12" i="39"/>
  <c r="M20" i="38"/>
  <c r="G19" i="41"/>
  <c r="H19" i="41" s="1"/>
  <c r="J19" i="41" s="1"/>
  <c r="G47" i="41"/>
  <c r="H48" i="41"/>
  <c r="J12" i="41"/>
  <c r="J22" i="41"/>
  <c r="G47" i="39"/>
  <c r="G19" i="39"/>
  <c r="H19" i="39" s="1"/>
  <c r="J19" i="39" s="1"/>
  <c r="J22" i="39" s="1"/>
  <c r="J24" i="39" s="1"/>
  <c r="H48" i="39"/>
  <c r="G19" i="37"/>
  <c r="H19" i="37" s="1"/>
  <c r="J19" i="37" s="1"/>
  <c r="J22" i="37" s="1"/>
  <c r="G47" i="37"/>
  <c r="J12" i="37"/>
  <c r="H48" i="37"/>
  <c r="M34" i="38" l="1"/>
  <c r="E20" i="38" s="1"/>
  <c r="E20" i="36"/>
  <c r="F20" i="40"/>
  <c r="E40" i="40"/>
  <c r="J24" i="41"/>
  <c r="J24" i="37"/>
  <c r="F20" i="38" l="1"/>
  <c r="E40" i="38"/>
  <c r="F20" i="36"/>
  <c r="E40" i="36"/>
  <c r="E41" i="36" s="1"/>
  <c r="E52" i="36"/>
  <c r="E41" i="38"/>
  <c r="E52" i="38"/>
  <c r="E41" i="40"/>
  <c r="E52" i="40"/>
  <c r="M49" i="22"/>
  <c r="M49" i="32"/>
  <c r="M49" i="33"/>
  <c r="E59" i="40" l="1"/>
  <c r="E58" i="40"/>
  <c r="E53" i="40"/>
  <c r="E53" i="38"/>
  <c r="E59" i="38"/>
  <c r="E58" i="38"/>
  <c r="E59" i="36"/>
  <c r="E58" i="36"/>
  <c r="E53" i="36"/>
  <c r="I6" i="34"/>
  <c r="G6" i="34"/>
  <c r="H6" i="34" s="1"/>
  <c r="I6" i="35"/>
  <c r="G6" i="35"/>
  <c r="H6" i="35" s="1"/>
  <c r="L6" i="35"/>
  <c r="L6" i="34"/>
  <c r="G6" i="27"/>
  <c r="I6" i="27"/>
  <c r="L6" i="27"/>
  <c r="J6" i="34" l="1"/>
  <c r="M17" i="32" s="1"/>
  <c r="J6" i="35"/>
  <c r="M17" i="33" s="1"/>
  <c r="H6" i="27" l="1"/>
  <c r="M45" i="33"/>
  <c r="M72" i="33"/>
  <c r="M71" i="33"/>
  <c r="M70" i="33"/>
  <c r="M69" i="33"/>
  <c r="M68" i="33"/>
  <c r="M67" i="33"/>
  <c r="M66" i="33"/>
  <c r="M64" i="33"/>
  <c r="M63" i="33"/>
  <c r="M62" i="33"/>
  <c r="M57" i="33"/>
  <c r="M56" i="33"/>
  <c r="M55" i="33"/>
  <c r="M54" i="33"/>
  <c r="M53" i="33"/>
  <c r="M52" i="33"/>
  <c r="M51" i="33"/>
  <c r="M48" i="33"/>
  <c r="M47" i="33"/>
  <c r="M46" i="33"/>
  <c r="M78" i="33" l="1"/>
  <c r="E21" i="33" s="1"/>
  <c r="J6" i="27"/>
  <c r="M17" i="22" s="1"/>
  <c r="I4" i="34"/>
  <c r="H46" i="35" l="1"/>
  <c r="H41" i="35"/>
  <c r="H34" i="35"/>
  <c r="H29" i="35"/>
  <c r="I21" i="35"/>
  <c r="I20" i="35"/>
  <c r="I19" i="35"/>
  <c r="I18" i="35"/>
  <c r="I17" i="35"/>
  <c r="I16" i="35"/>
  <c r="I15" i="35"/>
  <c r="I14" i="35"/>
  <c r="G21" i="35"/>
  <c r="H21" i="35" s="1"/>
  <c r="G18" i="35"/>
  <c r="H18" i="35" s="1"/>
  <c r="G17" i="35"/>
  <c r="H17" i="35" s="1"/>
  <c r="G14" i="35"/>
  <c r="G8" i="35"/>
  <c r="G7" i="35"/>
  <c r="G5" i="35"/>
  <c r="G4" i="35"/>
  <c r="H4" i="35" s="1"/>
  <c r="I11" i="35"/>
  <c r="I10" i="35"/>
  <c r="I9" i="35"/>
  <c r="I8" i="35"/>
  <c r="I7" i="35"/>
  <c r="I5" i="35"/>
  <c r="I4" i="35"/>
  <c r="G21" i="34"/>
  <c r="H21" i="34" s="1"/>
  <c r="G18" i="34"/>
  <c r="H18" i="34" s="1"/>
  <c r="G17" i="34"/>
  <c r="G14" i="34"/>
  <c r="G8" i="34"/>
  <c r="G7" i="34"/>
  <c r="G5" i="34"/>
  <c r="G4" i="34"/>
  <c r="H4" i="34" s="1"/>
  <c r="H46" i="34"/>
  <c r="H41" i="34"/>
  <c r="H34" i="34"/>
  <c r="H29" i="34"/>
  <c r="I21" i="34"/>
  <c r="I20" i="34"/>
  <c r="I19" i="34"/>
  <c r="I18" i="34"/>
  <c r="I17" i="34"/>
  <c r="I16" i="34"/>
  <c r="I15" i="34"/>
  <c r="I14" i="34"/>
  <c r="I11" i="34"/>
  <c r="I10" i="34"/>
  <c r="I9" i="34"/>
  <c r="I8" i="34"/>
  <c r="I7" i="34"/>
  <c r="I5" i="34"/>
  <c r="N45" i="35"/>
  <c r="N46" i="35" s="1"/>
  <c r="M45" i="35"/>
  <c r="G41" i="35"/>
  <c r="N40" i="35" s="1"/>
  <c r="F41" i="35"/>
  <c r="M40" i="35" s="1"/>
  <c r="G34" i="35"/>
  <c r="F34" i="35"/>
  <c r="M32" i="35" s="1"/>
  <c r="N32" i="35"/>
  <c r="N33" i="35" s="1"/>
  <c r="G29" i="35"/>
  <c r="F29" i="35"/>
  <c r="N27" i="35"/>
  <c r="M27" i="35"/>
  <c r="M28" i="35" s="1"/>
  <c r="L21" i="35"/>
  <c r="L20" i="35"/>
  <c r="L19" i="35"/>
  <c r="L18" i="35"/>
  <c r="L17" i="35"/>
  <c r="L16" i="35"/>
  <c r="L15" i="35"/>
  <c r="L14" i="35"/>
  <c r="L11" i="35"/>
  <c r="L10" i="35"/>
  <c r="L9" i="35"/>
  <c r="L8" i="35"/>
  <c r="L7" i="35"/>
  <c r="L5" i="35"/>
  <c r="L4" i="35"/>
  <c r="N45" i="34"/>
  <c r="M45" i="34"/>
  <c r="M46" i="34" s="1"/>
  <c r="G41" i="34"/>
  <c r="N40" i="34" s="1"/>
  <c r="F41" i="34"/>
  <c r="M40" i="34"/>
  <c r="M41" i="34" s="1"/>
  <c r="G34" i="34"/>
  <c r="N32" i="34" s="1"/>
  <c r="F34" i="34"/>
  <c r="M32" i="34" s="1"/>
  <c r="G29" i="34"/>
  <c r="F29" i="34"/>
  <c r="M27" i="34" s="1"/>
  <c r="N27" i="34"/>
  <c r="N28" i="34" s="1"/>
  <c r="L21" i="34"/>
  <c r="L20" i="34"/>
  <c r="L19" i="34"/>
  <c r="L18" i="34"/>
  <c r="L17" i="34"/>
  <c r="H17" i="34"/>
  <c r="L16" i="34"/>
  <c r="L15" i="34"/>
  <c r="L14" i="34"/>
  <c r="L11" i="34"/>
  <c r="L10" i="34"/>
  <c r="L9" i="34"/>
  <c r="L8" i="34"/>
  <c r="L7" i="34"/>
  <c r="L5" i="34"/>
  <c r="L4" i="34"/>
  <c r="F51" i="33"/>
  <c r="E51" i="33"/>
  <c r="F50" i="33"/>
  <c r="F49" i="33"/>
  <c r="F48" i="33"/>
  <c r="F47" i="33"/>
  <c r="F46" i="33"/>
  <c r="F45" i="33"/>
  <c r="F44" i="33"/>
  <c r="F39" i="33"/>
  <c r="F38" i="33"/>
  <c r="F37" i="33"/>
  <c r="F36" i="33"/>
  <c r="F35" i="33"/>
  <c r="F34" i="33"/>
  <c r="F33" i="33"/>
  <c r="F32" i="33"/>
  <c r="F31" i="33"/>
  <c r="F30" i="33"/>
  <c r="F29" i="33"/>
  <c r="M29" i="33"/>
  <c r="F28" i="33"/>
  <c r="M28" i="33"/>
  <c r="F27" i="33"/>
  <c r="M27" i="33"/>
  <c r="F26" i="33"/>
  <c r="F25" i="33"/>
  <c r="F24" i="33"/>
  <c r="F23" i="33"/>
  <c r="O22" i="33"/>
  <c r="P22" i="33" s="1"/>
  <c r="F22" i="33"/>
  <c r="E15" i="33"/>
  <c r="M7" i="33"/>
  <c r="E19" i="33" s="1"/>
  <c r="F19" i="33" s="1"/>
  <c r="M72" i="32"/>
  <c r="M71" i="32"/>
  <c r="M70" i="32"/>
  <c r="M69" i="32"/>
  <c r="M68" i="32"/>
  <c r="M67" i="32"/>
  <c r="M66" i="32"/>
  <c r="M64" i="32"/>
  <c r="M63" i="32"/>
  <c r="M62" i="32"/>
  <c r="M57" i="32"/>
  <c r="M56" i="32"/>
  <c r="M55" i="32"/>
  <c r="M54" i="32"/>
  <c r="M53" i="32"/>
  <c r="F51" i="32"/>
  <c r="E51" i="32"/>
  <c r="M52" i="32"/>
  <c r="F50" i="32"/>
  <c r="M51" i="32"/>
  <c r="F49" i="32"/>
  <c r="F48" i="32"/>
  <c r="M48" i="32"/>
  <c r="F47" i="32"/>
  <c r="M47" i="32"/>
  <c r="F46" i="32"/>
  <c r="M46" i="32"/>
  <c r="F45" i="32"/>
  <c r="M45" i="32"/>
  <c r="F44" i="32"/>
  <c r="F39" i="32"/>
  <c r="F38" i="32"/>
  <c r="F37" i="32"/>
  <c r="F36" i="32"/>
  <c r="F35" i="32"/>
  <c r="F34" i="32"/>
  <c r="F33" i="32"/>
  <c r="F32" i="32"/>
  <c r="F31" i="32"/>
  <c r="F30" i="32"/>
  <c r="F29" i="32"/>
  <c r="M29" i="32"/>
  <c r="F28" i="32"/>
  <c r="M28" i="32"/>
  <c r="F27" i="32"/>
  <c r="M27" i="32"/>
  <c r="F26" i="32"/>
  <c r="F25" i="32"/>
  <c r="F24" i="32"/>
  <c r="F23" i="32"/>
  <c r="O22" i="32"/>
  <c r="P22" i="32" s="1"/>
  <c r="F22" i="32"/>
  <c r="E15" i="32"/>
  <c r="M7" i="32"/>
  <c r="E19" i="32" s="1"/>
  <c r="F19" i="32" s="1"/>
  <c r="F22" i="22"/>
  <c r="F23" i="22"/>
  <c r="F24" i="22"/>
  <c r="F25" i="22"/>
  <c r="F26" i="22"/>
  <c r="F27" i="22"/>
  <c r="F28" i="22"/>
  <c r="F29" i="22"/>
  <c r="F30" i="22"/>
  <c r="F31" i="22"/>
  <c r="F32" i="22"/>
  <c r="F33" i="22"/>
  <c r="F34" i="22"/>
  <c r="F35" i="22"/>
  <c r="F36" i="22"/>
  <c r="F37" i="22"/>
  <c r="F38" i="22"/>
  <c r="F39" i="22"/>
  <c r="M78" i="32" l="1"/>
  <c r="S5" i="34"/>
  <c r="P5" i="35"/>
  <c r="J37" i="33" s="1"/>
  <c r="P5" i="34"/>
  <c r="J37" i="32" s="1"/>
  <c r="S5" i="35"/>
  <c r="J8" i="35"/>
  <c r="M22" i="33" s="1"/>
  <c r="J5" i="35"/>
  <c r="J14" i="35"/>
  <c r="N28" i="35"/>
  <c r="P23" i="35" s="1"/>
  <c r="J7" i="35"/>
  <c r="N41" i="35"/>
  <c r="J7" i="34"/>
  <c r="N41" i="34"/>
  <c r="J8" i="34"/>
  <c r="M22" i="32" s="1"/>
  <c r="J14" i="34"/>
  <c r="N46" i="34"/>
  <c r="J5" i="34"/>
  <c r="M16" i="32" s="1"/>
  <c r="F21" i="32"/>
  <c r="Q5" i="34"/>
  <c r="H7" i="34"/>
  <c r="F21" i="33"/>
  <c r="R5" i="35"/>
  <c r="Q5" i="35"/>
  <c r="J17" i="35"/>
  <c r="M23" i="33" s="1"/>
  <c r="M33" i="35"/>
  <c r="M41" i="35"/>
  <c r="F42" i="35"/>
  <c r="F43" i="35" s="1"/>
  <c r="J4" i="35"/>
  <c r="M19" i="33" s="1"/>
  <c r="F35" i="35"/>
  <c r="F36" i="35" s="1"/>
  <c r="F30" i="35"/>
  <c r="F31" i="35" s="1"/>
  <c r="J18" i="35"/>
  <c r="M24" i="33" s="1"/>
  <c r="J21" i="35"/>
  <c r="M26" i="33" s="1"/>
  <c r="P22" i="35"/>
  <c r="M46" i="35"/>
  <c r="H7" i="35" s="1"/>
  <c r="J17" i="34"/>
  <c r="M23" i="32" s="1"/>
  <c r="J18" i="34"/>
  <c r="M24" i="32" s="1"/>
  <c r="F42" i="34"/>
  <c r="F43" i="34" s="1"/>
  <c r="F30" i="34"/>
  <c r="F31" i="34" s="1"/>
  <c r="J4" i="34"/>
  <c r="M19" i="32" s="1"/>
  <c r="F35" i="34"/>
  <c r="F36" i="34" s="1"/>
  <c r="M28" i="34"/>
  <c r="P23" i="34" s="1"/>
  <c r="P22" i="34"/>
  <c r="M33" i="34"/>
  <c r="N33" i="34"/>
  <c r="J21" i="34"/>
  <c r="M26" i="32" s="1"/>
  <c r="R5" i="34"/>
  <c r="M18" i="33" l="1"/>
  <c r="M18" i="32"/>
  <c r="G10" i="35"/>
  <c r="G36" i="35"/>
  <c r="G43" i="35"/>
  <c r="G11" i="35"/>
  <c r="H11" i="35" s="1"/>
  <c r="G9" i="35"/>
  <c r="G31" i="35"/>
  <c r="G10" i="34"/>
  <c r="G36" i="34"/>
  <c r="H36" i="34" s="1"/>
  <c r="I36" i="34" s="1"/>
  <c r="G9" i="34"/>
  <c r="G31" i="34"/>
  <c r="G11" i="34"/>
  <c r="H11" i="34" s="1"/>
  <c r="G43" i="34"/>
  <c r="G15" i="35" l="1"/>
  <c r="G30" i="35"/>
  <c r="H31" i="35"/>
  <c r="I31" i="35" s="1"/>
  <c r="G20" i="35"/>
  <c r="H20" i="35" s="1"/>
  <c r="J20" i="35" s="1"/>
  <c r="G42" i="35"/>
  <c r="G35" i="35"/>
  <c r="G16" i="35"/>
  <c r="F47" i="35"/>
  <c r="F48" i="35" s="1"/>
  <c r="J11" i="35"/>
  <c r="H43" i="35"/>
  <c r="H36" i="35"/>
  <c r="I36" i="35" s="1"/>
  <c r="G42" i="34"/>
  <c r="G20" i="34"/>
  <c r="H20" i="34" s="1"/>
  <c r="J20" i="34" s="1"/>
  <c r="H43" i="34"/>
  <c r="F47" i="34"/>
  <c r="F48" i="34" s="1"/>
  <c r="J11" i="34"/>
  <c r="G15" i="34"/>
  <c r="G30" i="34"/>
  <c r="H31" i="34"/>
  <c r="I31" i="34" s="1"/>
  <c r="H10" i="34"/>
  <c r="J10" i="34" s="1"/>
  <c r="H16" i="34"/>
  <c r="J16" i="34" s="1"/>
  <c r="G35" i="34"/>
  <c r="G16" i="34"/>
  <c r="M21" i="32" l="1"/>
  <c r="M25" i="33"/>
  <c r="M25" i="32"/>
  <c r="H10" i="35"/>
  <c r="J10" i="35" s="1"/>
  <c r="H16" i="35"/>
  <c r="J16" i="35" s="1"/>
  <c r="G48" i="35"/>
  <c r="H15" i="35"/>
  <c r="J15" i="35" s="1"/>
  <c r="H9" i="35"/>
  <c r="J9" i="35" s="1"/>
  <c r="H15" i="34"/>
  <c r="J15" i="34" s="1"/>
  <c r="H9" i="34"/>
  <c r="J9" i="34" s="1"/>
  <c r="G48" i="34"/>
  <c r="M21" i="33" l="1"/>
  <c r="J12" i="35"/>
  <c r="M20" i="33"/>
  <c r="J12" i="34"/>
  <c r="M20" i="32"/>
  <c r="M34" i="32" s="1"/>
  <c r="G47" i="35"/>
  <c r="G19" i="35"/>
  <c r="H19" i="35" s="1"/>
  <c r="J19" i="35" s="1"/>
  <c r="J22" i="35" s="1"/>
  <c r="H48" i="35"/>
  <c r="G47" i="34"/>
  <c r="G19" i="34"/>
  <c r="H19" i="34" s="1"/>
  <c r="J19" i="34" s="1"/>
  <c r="J22" i="34" s="1"/>
  <c r="H48" i="34"/>
  <c r="E20" i="32" l="1"/>
  <c r="F20" i="32" s="1"/>
  <c r="J24" i="35"/>
  <c r="J24" i="34"/>
  <c r="E40" i="32" l="1"/>
  <c r="E41" i="32" s="1"/>
  <c r="E52" i="32" l="1"/>
  <c r="E59" i="32"/>
  <c r="E53" i="32"/>
  <c r="E58" i="32"/>
  <c r="M48" i="22" l="1"/>
  <c r="M47" i="22"/>
  <c r="M72" i="22"/>
  <c r="M71" i="22"/>
  <c r="M57" i="22"/>
  <c r="M56" i="22"/>
  <c r="I21" i="27" l="1"/>
  <c r="G21" i="27"/>
  <c r="H21" i="27" s="1"/>
  <c r="L21" i="27"/>
  <c r="I18" i="27"/>
  <c r="L18" i="27"/>
  <c r="L17" i="27"/>
  <c r="G18" i="27"/>
  <c r="H18" i="27" s="1"/>
  <c r="J21" i="27" l="1"/>
  <c r="M26" i="22" s="1"/>
  <c r="J18" i="27"/>
  <c r="M24" i="22" s="1"/>
  <c r="M27" i="22" l="1"/>
  <c r="I14" i="27"/>
  <c r="G14" i="27"/>
  <c r="L14" i="27"/>
  <c r="I8" i="27"/>
  <c r="G8" i="27"/>
  <c r="J14" i="27" l="1"/>
  <c r="L8" i="27"/>
  <c r="J8" i="27" s="1"/>
  <c r="M22" i="22" s="1"/>
  <c r="M7" i="22" l="1"/>
  <c r="E15" i="22" l="1"/>
  <c r="M29" i="22"/>
  <c r="M28" i="22" l="1"/>
  <c r="E51" i="22" l="1"/>
  <c r="F45" i="22"/>
  <c r="F46" i="22"/>
  <c r="F47" i="22"/>
  <c r="F48" i="22"/>
  <c r="F49" i="22"/>
  <c r="F50" i="22"/>
  <c r="H10" i="28" l="1"/>
  <c r="V24" i="36" s="1"/>
  <c r="H8" i="28"/>
  <c r="V19" i="36" s="1"/>
  <c r="K37" i="36" s="1"/>
  <c r="V24" i="22" l="1"/>
  <c r="V19" i="22"/>
  <c r="G8" i="28"/>
  <c r="U19" i="36" s="1"/>
  <c r="J8" i="28"/>
  <c r="X19" i="36" s="1"/>
  <c r="M37" i="36" s="1"/>
  <c r="I8" i="28"/>
  <c r="G10" i="28"/>
  <c r="U24" i="36" s="1"/>
  <c r="J10" i="28"/>
  <c r="X24" i="36" s="1"/>
  <c r="I10" i="28"/>
  <c r="W24" i="36" s="1"/>
  <c r="J37" i="36" l="1"/>
  <c r="W19" i="36"/>
  <c r="L37" i="36" s="1"/>
  <c r="L37" i="33"/>
  <c r="L37" i="32"/>
  <c r="M37" i="33"/>
  <c r="K37" i="32"/>
  <c r="K37" i="33"/>
  <c r="W24" i="22"/>
  <c r="X24" i="22"/>
  <c r="U24" i="22"/>
  <c r="W19" i="22"/>
  <c r="X19" i="22"/>
  <c r="U19" i="22"/>
  <c r="L7" i="27"/>
  <c r="I7" i="27"/>
  <c r="L19" i="27"/>
  <c r="I20" i="27"/>
  <c r="I19" i="27"/>
  <c r="L5" i="27"/>
  <c r="H46" i="27"/>
  <c r="N45" i="27"/>
  <c r="M45" i="27"/>
  <c r="G7" i="27"/>
  <c r="M37" i="32" l="1"/>
  <c r="S5" i="27"/>
  <c r="M37" i="22" s="1"/>
  <c r="J7" i="27"/>
  <c r="M18" i="22" s="1"/>
  <c r="M46" i="27"/>
  <c r="H7" i="27" s="1"/>
  <c r="N46" i="27"/>
  <c r="M45" i="22" l="1"/>
  <c r="L11" i="27" l="1"/>
  <c r="L20" i="27"/>
  <c r="I11" i="27"/>
  <c r="I16" i="27"/>
  <c r="I10" i="27"/>
  <c r="I15" i="27"/>
  <c r="I9" i="27"/>
  <c r="M70" i="22"/>
  <c r="M69" i="22"/>
  <c r="M68" i="22"/>
  <c r="M67" i="22"/>
  <c r="M66" i="22"/>
  <c r="M64" i="22"/>
  <c r="M63" i="22"/>
  <c r="M62" i="22"/>
  <c r="M52" i="22"/>
  <c r="M53" i="22"/>
  <c r="M54" i="22"/>
  <c r="M55" i="22"/>
  <c r="M51" i="22"/>
  <c r="M46" i="22"/>
  <c r="M78" i="22" l="1"/>
  <c r="E21" i="22"/>
  <c r="F21" i="22" s="1"/>
  <c r="Q5" i="27"/>
  <c r="K37" i="22" s="1"/>
  <c r="H41" i="27"/>
  <c r="G41" i="27"/>
  <c r="N40" i="27" s="1"/>
  <c r="F41" i="27"/>
  <c r="M40" i="27" s="1"/>
  <c r="H34" i="27"/>
  <c r="G34" i="27"/>
  <c r="F34" i="27"/>
  <c r="M32" i="27" s="1"/>
  <c r="N32" i="27"/>
  <c r="H29" i="27"/>
  <c r="G29" i="27"/>
  <c r="N27" i="27" s="1"/>
  <c r="F29" i="27"/>
  <c r="M27" i="27" s="1"/>
  <c r="M28" i="27" s="1"/>
  <c r="I17" i="27"/>
  <c r="R5" i="27" s="1"/>
  <c r="G17" i="27"/>
  <c r="H17" i="27" s="1"/>
  <c r="L16" i="27"/>
  <c r="L15" i="27"/>
  <c r="L10" i="27"/>
  <c r="L9" i="27"/>
  <c r="I5" i="27"/>
  <c r="G5" i="27"/>
  <c r="J5" i="27" s="1"/>
  <c r="L4" i="27"/>
  <c r="I4" i="27"/>
  <c r="G4" i="27"/>
  <c r="H4" i="27" s="1"/>
  <c r="P5" i="27" l="1"/>
  <c r="J37" i="22" s="1"/>
  <c r="M16" i="22"/>
  <c r="M34" i="22" s="1"/>
  <c r="M16" i="33"/>
  <c r="M34" i="33" s="1"/>
  <c r="L37" i="22"/>
  <c r="J17" i="27"/>
  <c r="M23" i="22" s="1"/>
  <c r="F30" i="27"/>
  <c r="F31" i="27" s="1"/>
  <c r="G31" i="27" s="1"/>
  <c r="N33" i="27"/>
  <c r="N28" i="27"/>
  <c r="P22" i="27"/>
  <c r="M41" i="27"/>
  <c r="N41" i="27"/>
  <c r="M33" i="27"/>
  <c r="O22" i="22"/>
  <c r="P22" i="22" s="1"/>
  <c r="E19" i="22"/>
  <c r="E20" i="33" l="1"/>
  <c r="F35" i="27"/>
  <c r="H31" i="27"/>
  <c r="I31" i="27" s="1"/>
  <c r="G9" i="27"/>
  <c r="J4" i="27"/>
  <c r="F42" i="27"/>
  <c r="F43" i="27" s="1"/>
  <c r="G43" i="27" s="1"/>
  <c r="G20" i="27" s="1"/>
  <c r="P23" i="27"/>
  <c r="G15" i="27"/>
  <c r="G30" i="27"/>
  <c r="F20" i="33" l="1"/>
  <c r="E40" i="33"/>
  <c r="E52" i="33"/>
  <c r="E41" i="33"/>
  <c r="M19" i="22"/>
  <c r="H20" i="27"/>
  <c r="J20" i="27" s="1"/>
  <c r="F36" i="27"/>
  <c r="G36" i="27" s="1"/>
  <c r="G16" i="27" s="1"/>
  <c r="G11" i="27"/>
  <c r="H11" i="27" s="1"/>
  <c r="F47" i="27" s="1"/>
  <c r="F48" i="27" s="1"/>
  <c r="H43" i="27"/>
  <c r="H15" i="27"/>
  <c r="J15" i="27" s="1"/>
  <c r="H9" i="27"/>
  <c r="J9" i="27" s="1"/>
  <c r="G42" i="27"/>
  <c r="F19" i="22"/>
  <c r="E58" i="33" l="1"/>
  <c r="E59" i="33"/>
  <c r="E53" i="33"/>
  <c r="G48" i="27"/>
  <c r="H48" i="27" s="1"/>
  <c r="J11" i="27"/>
  <c r="M25" i="22" s="1"/>
  <c r="G35" i="27"/>
  <c r="H36" i="27"/>
  <c r="I36" i="27" s="1"/>
  <c r="G10" i="27"/>
  <c r="J2" i="23"/>
  <c r="J3" i="23"/>
  <c r="F51" i="22"/>
  <c r="L2" i="23"/>
  <c r="L3" i="23"/>
  <c r="K3" i="23"/>
  <c r="D29" i="23"/>
  <c r="D30" i="23"/>
  <c r="D22" i="23"/>
  <c r="D23" i="23"/>
  <c r="D24" i="23"/>
  <c r="D19" i="23"/>
  <c r="D20" i="23"/>
  <c r="D16" i="23"/>
  <c r="D17" i="23"/>
  <c r="D9" i="23"/>
  <c r="D10" i="23"/>
  <c r="D11" i="23"/>
  <c r="D4" i="23"/>
  <c r="D5" i="23"/>
  <c r="D6" i="23"/>
  <c r="D7" i="23"/>
  <c r="D12" i="23"/>
  <c r="D13" i="23"/>
  <c r="D14" i="23"/>
  <c r="D25" i="23"/>
  <c r="D26" i="23"/>
  <c r="D27" i="23"/>
  <c r="D31" i="23"/>
  <c r="D32" i="23"/>
  <c r="D33" i="23"/>
  <c r="D2" i="23"/>
  <c r="D44" i="23"/>
  <c r="C44" i="23"/>
  <c r="C42" i="23"/>
  <c r="C32" i="23"/>
  <c r="D42" i="23"/>
  <c r="D41" i="23"/>
  <c r="C41" i="23"/>
  <c r="D40" i="23"/>
  <c r="C40" i="23"/>
  <c r="D35" i="23"/>
  <c r="D36" i="23"/>
  <c r="D37" i="23"/>
  <c r="D38" i="23"/>
  <c r="D34" i="23"/>
  <c r="C38" i="23"/>
  <c r="C35" i="23"/>
  <c r="C36" i="23"/>
  <c r="C37" i="23"/>
  <c r="C34" i="23"/>
  <c r="B34" i="23"/>
  <c r="C16" i="23"/>
  <c r="C17" i="23"/>
  <c r="C19" i="23"/>
  <c r="C20" i="23"/>
  <c r="C22" i="23"/>
  <c r="C23" i="23"/>
  <c r="C24" i="23"/>
  <c r="C29" i="23"/>
  <c r="C30" i="23"/>
  <c r="B29" i="23"/>
  <c r="B30" i="23"/>
  <c r="B22" i="23"/>
  <c r="B23" i="23"/>
  <c r="B24" i="23"/>
  <c r="B19" i="23"/>
  <c r="B20" i="23"/>
  <c r="B16" i="23"/>
  <c r="B17" i="23"/>
  <c r="C9" i="23"/>
  <c r="C10" i="23"/>
  <c r="C11" i="23"/>
  <c r="B9" i="23"/>
  <c r="B10" i="23"/>
  <c r="B11" i="23"/>
  <c r="C4" i="23"/>
  <c r="C5" i="23"/>
  <c r="C6" i="23"/>
  <c r="C7" i="23"/>
  <c r="C12" i="23"/>
  <c r="C13" i="23"/>
  <c r="C14" i="23"/>
  <c r="C25" i="23"/>
  <c r="C26" i="23"/>
  <c r="C27" i="23"/>
  <c r="C31" i="23"/>
  <c r="C33" i="23"/>
  <c r="C2" i="23"/>
  <c r="B4" i="23"/>
  <c r="B5" i="23"/>
  <c r="B6" i="23"/>
  <c r="B7" i="23"/>
  <c r="B38" i="23"/>
  <c r="B33" i="23"/>
  <c r="B42" i="23"/>
  <c r="B32" i="23"/>
  <c r="B41" i="23"/>
  <c r="B44" i="23"/>
  <c r="B40" i="23"/>
  <c r="B35" i="23"/>
  <c r="B36" i="23"/>
  <c r="B37" i="23"/>
  <c r="B12" i="23"/>
  <c r="B13" i="23"/>
  <c r="B14" i="23"/>
  <c r="B25" i="23"/>
  <c r="B26" i="23"/>
  <c r="B27" i="23"/>
  <c r="B31" i="23"/>
  <c r="B2" i="23"/>
  <c r="F44" i="22"/>
  <c r="G47" i="27" l="1"/>
  <c r="G19" i="27"/>
  <c r="H19" i="27" s="1"/>
  <c r="J19" i="27" s="1"/>
  <c r="H16" i="27"/>
  <c r="J16" i="27" s="1"/>
  <c r="H10" i="27"/>
  <c r="J10" i="27" s="1"/>
  <c r="J12" i="27" s="1"/>
  <c r="M20" i="22"/>
  <c r="B8" i="23"/>
  <c r="B39" i="23"/>
  <c r="B21" i="23"/>
  <c r="L8" i="23"/>
  <c r="D15" i="23"/>
  <c r="C39" i="23"/>
  <c r="D39" i="23"/>
  <c r="B18" i="23"/>
  <c r="B15" i="23"/>
  <c r="B28" i="23"/>
  <c r="D28" i="23"/>
  <c r="D8" i="23"/>
  <c r="B43" i="23"/>
  <c r="D18" i="23"/>
  <c r="C3" i="23"/>
  <c r="B3" i="23"/>
  <c r="C8" i="23"/>
  <c r="J8" i="23"/>
  <c r="D21" i="23"/>
  <c r="C15" i="23"/>
  <c r="D43" i="23"/>
  <c r="C28" i="23"/>
  <c r="D3" i="23"/>
  <c r="C21" i="23"/>
  <c r="C18" i="23"/>
  <c r="C43" i="23"/>
  <c r="J22" i="27" l="1"/>
  <c r="J24" i="27" s="1"/>
  <c r="J4" i="23"/>
  <c r="L4" i="23"/>
  <c r="M21" i="22" l="1"/>
  <c r="E20" i="22" l="1"/>
  <c r="F20" i="22" s="1"/>
  <c r="E40" i="22" l="1"/>
  <c r="E41" i="22" s="1"/>
  <c r="E52" i="22" l="1"/>
  <c r="K2" i="23"/>
  <c r="K8" i="23" s="1"/>
  <c r="E53" i="22" l="1"/>
  <c r="E58" i="22"/>
  <c r="E59" i="22"/>
  <c r="K4" i="23"/>
</calcChain>
</file>

<file path=xl/sharedStrings.xml><?xml version="1.0" encoding="utf-8"?>
<sst xmlns="http://schemas.openxmlformats.org/spreadsheetml/2006/main" count="3486" uniqueCount="630">
  <si>
    <t>Nitrogen</t>
  </si>
  <si>
    <t>Phosphorus</t>
  </si>
  <si>
    <t>None</t>
  </si>
  <si>
    <t>Gallons</t>
  </si>
  <si>
    <t>Pound</t>
  </si>
  <si>
    <t>Name</t>
  </si>
  <si>
    <t>Selling Unit</t>
  </si>
  <si>
    <t>Rate Unit</t>
  </si>
  <si>
    <t>App Unit</t>
  </si>
  <si>
    <t>qt</t>
  </si>
  <si>
    <t>2,4-D</t>
  </si>
  <si>
    <t>pt</t>
  </si>
  <si>
    <t>Gallon</t>
  </si>
  <si>
    <t>Armezon/Impact</t>
  </si>
  <si>
    <t>oz</t>
  </si>
  <si>
    <t>Ounce</t>
  </si>
  <si>
    <t>Armezon Pro</t>
  </si>
  <si>
    <t>lb</t>
  </si>
  <si>
    <t>Cadet</t>
  </si>
  <si>
    <t>Quart</t>
  </si>
  <si>
    <t>Capreno</t>
  </si>
  <si>
    <t>Corvus</t>
  </si>
  <si>
    <t>Halex GT</t>
  </si>
  <si>
    <t>Lexar EZ</t>
  </si>
  <si>
    <t>Liberty</t>
  </si>
  <si>
    <t>Lumax EZ</t>
  </si>
  <si>
    <t>Outlook</t>
  </si>
  <si>
    <t>Prowl H20</t>
  </si>
  <si>
    <t>Sharpen</t>
  </si>
  <si>
    <t>Verdict</t>
  </si>
  <si>
    <t>Warrant</t>
  </si>
  <si>
    <t>Zidua</t>
  </si>
  <si>
    <t>Ammonium Sulfate</t>
  </si>
  <si>
    <t>Priaxor</t>
  </si>
  <si>
    <t>Stratego YLD</t>
  </si>
  <si>
    <t>Per Acre</t>
  </si>
  <si>
    <t>Seed</t>
  </si>
  <si>
    <t>Fertilizer</t>
  </si>
  <si>
    <t>Custom Hire</t>
  </si>
  <si>
    <t>Driver &amp; Equipment Hire</t>
  </si>
  <si>
    <t>Equipment Hire</t>
  </si>
  <si>
    <t>Crop Insurance</t>
  </si>
  <si>
    <t>Freight &amp; Trucking</t>
  </si>
  <si>
    <t>Gas/Fuel</t>
  </si>
  <si>
    <t>Equipment Fuel</t>
  </si>
  <si>
    <t>Drying Propane</t>
  </si>
  <si>
    <t>Repairs &amp; Maintenance</t>
  </si>
  <si>
    <t>Supplies</t>
  </si>
  <si>
    <t>Storage</t>
  </si>
  <si>
    <t>Utilities</t>
  </si>
  <si>
    <t>Irrigation</t>
  </si>
  <si>
    <t>N</t>
  </si>
  <si>
    <t>P</t>
  </si>
  <si>
    <t>S</t>
  </si>
  <si>
    <t>Acres</t>
  </si>
  <si>
    <t>Fungicides</t>
  </si>
  <si>
    <t>Repairs</t>
  </si>
  <si>
    <t>Fuel/Electricity</t>
  </si>
  <si>
    <t>Alfalfa Hay</t>
  </si>
  <si>
    <t>INCOME</t>
  </si>
  <si>
    <t>(Enter Below)</t>
  </si>
  <si>
    <t>Corn Chemicals</t>
  </si>
  <si>
    <t>Boundary</t>
  </si>
  <si>
    <t>Optill</t>
  </si>
  <si>
    <t>Reflex</t>
  </si>
  <si>
    <t>Soybean Chemicals</t>
  </si>
  <si>
    <t>Adjuvants</t>
  </si>
  <si>
    <t>Ammonium Sulfate (Liquid)</t>
  </si>
  <si>
    <t>Ammonium Sulfate (Replacement)</t>
  </si>
  <si>
    <t>Methylated Seed Oil (MSO)</t>
  </si>
  <si>
    <t>Crop Oil Concentrate</t>
  </si>
  <si>
    <t>Drift Agent/Spreader</t>
  </si>
  <si>
    <t>Insecticides</t>
  </si>
  <si>
    <t>Insecticide (pint rate)</t>
  </si>
  <si>
    <t>Insecticide (ounce rate)</t>
  </si>
  <si>
    <t>Insecticide (pound rate)</t>
  </si>
  <si>
    <t>Insecticide (quart rate)</t>
  </si>
  <si>
    <t>Atrazine (Liquid)</t>
  </si>
  <si>
    <t>Atrazine (Dry)</t>
  </si>
  <si>
    <t>Balance Flexx</t>
  </si>
  <si>
    <t>Breakfree NXT/Harness/Surpass NXT</t>
  </si>
  <si>
    <t>Callisto</t>
  </si>
  <si>
    <t>Dual II Magnum/Cinch/Parallel</t>
  </si>
  <si>
    <t>Princep</t>
  </si>
  <si>
    <t>Python/Accolade</t>
  </si>
  <si>
    <t>Resolve SG</t>
  </si>
  <si>
    <t>Valor/Rowell</t>
  </si>
  <si>
    <t>Acuron</t>
  </si>
  <si>
    <t>Acuron Flex</t>
  </si>
  <si>
    <t>Anthem Maxx</t>
  </si>
  <si>
    <t>Anthem ATZ</t>
  </si>
  <si>
    <t>Basis Blend</t>
  </si>
  <si>
    <t>Bicip II Magnum/Cinch ATZ/Parallel Plus</t>
  </si>
  <si>
    <t>Breakfree NXT Lite/Degree XTRA/Fultime NXT/Keystone LA NXT</t>
  </si>
  <si>
    <t>Breakfree NXT ATZ/Harness XTRA/Keystone NXT</t>
  </si>
  <si>
    <t>Fierce</t>
  </si>
  <si>
    <t>Harness Max</t>
  </si>
  <si>
    <t>Hornet WDG/Stanza</t>
  </si>
  <si>
    <t>Instigate</t>
  </si>
  <si>
    <t>Prequel</t>
  </si>
  <si>
    <t>Soil Premix</t>
  </si>
  <si>
    <t>Soil</t>
  </si>
  <si>
    <t>Resicore</t>
  </si>
  <si>
    <t>Surestart II/TripleFlex II</t>
  </si>
  <si>
    <t>Zemax</t>
  </si>
  <si>
    <t>Post</t>
  </si>
  <si>
    <t>Accent Q</t>
  </si>
  <si>
    <t>Aim</t>
  </si>
  <si>
    <t>Banvel/Clarity</t>
  </si>
  <si>
    <t>Basagran/Broadloom</t>
  </si>
  <si>
    <t>Beacon</t>
  </si>
  <si>
    <t>Buctril/Moxy</t>
  </si>
  <si>
    <t>DiFlexx</t>
  </si>
  <si>
    <t>Laudis</t>
  </si>
  <si>
    <t>Permit</t>
  </si>
  <si>
    <t>Resource</t>
  </si>
  <si>
    <t>Stinger</t>
  </si>
  <si>
    <t>Callisto XTRA</t>
  </si>
  <si>
    <t>DiFlexx Duo</t>
  </si>
  <si>
    <t>Realm Q</t>
  </si>
  <si>
    <t>Resolve Q</t>
  </si>
  <si>
    <t>Revulin Q</t>
  </si>
  <si>
    <t>Solstice</t>
  </si>
  <si>
    <t>Status</t>
  </si>
  <si>
    <t>Steadfast Q</t>
  </si>
  <si>
    <t>Yukon</t>
  </si>
  <si>
    <t>Callisto GT</t>
  </si>
  <si>
    <t>Expert</t>
  </si>
  <si>
    <t>Sequence</t>
  </si>
  <si>
    <t>Timing</t>
  </si>
  <si>
    <t>Site of Action</t>
  </si>
  <si>
    <t>Post Pre-Mix</t>
  </si>
  <si>
    <t>Glyphosate</t>
  </si>
  <si>
    <t>14/15</t>
  </si>
  <si>
    <t>15/14/5</t>
  </si>
  <si>
    <t>15/27</t>
  </si>
  <si>
    <t>5/27</t>
  </si>
  <si>
    <t>2/27</t>
  </si>
  <si>
    <t>4/27</t>
  </si>
  <si>
    <t>2/4</t>
  </si>
  <si>
    <t>9/27</t>
  </si>
  <si>
    <t>5/9/15</t>
  </si>
  <si>
    <t>9/15/27</t>
  </si>
  <si>
    <t>2/2</t>
  </si>
  <si>
    <t>9/15</t>
  </si>
  <si>
    <t>14/27</t>
  </si>
  <si>
    <t>4/19</t>
  </si>
  <si>
    <t>5</t>
  </si>
  <si>
    <t>27</t>
  </si>
  <si>
    <t>15</t>
  </si>
  <si>
    <t>3</t>
  </si>
  <si>
    <t>2</t>
  </si>
  <si>
    <t>14</t>
  </si>
  <si>
    <t>9</t>
  </si>
  <si>
    <t>5/15/27/27</t>
  </si>
  <si>
    <t>15/27/27</t>
  </si>
  <si>
    <t>15/14</t>
  </si>
  <si>
    <t>5/15</t>
  </si>
  <si>
    <t>Bicip II Magnum Lite/Cinch ATZ Lite</t>
  </si>
  <si>
    <t>5/27/15</t>
  </si>
  <si>
    <t>4/15/27</t>
  </si>
  <si>
    <t>2/4/15</t>
  </si>
  <si>
    <t>27/15</t>
  </si>
  <si>
    <t>Enlist One</t>
  </si>
  <si>
    <t>Enlist Duo</t>
  </si>
  <si>
    <t>4</t>
  </si>
  <si>
    <t>4/9</t>
  </si>
  <si>
    <t>6</t>
  </si>
  <si>
    <t>Custom Application</t>
  </si>
  <si>
    <t>Land Rent</t>
  </si>
  <si>
    <t>Broadaxe XC</t>
  </si>
  <si>
    <t>Command 3ME</t>
  </si>
  <si>
    <t>13</t>
  </si>
  <si>
    <t>Dual Magnum/Everprex/Parallel</t>
  </si>
  <si>
    <t>Firstrate</t>
  </si>
  <si>
    <t>Lorox/Linex</t>
  </si>
  <si>
    <t>7</t>
  </si>
  <si>
    <t>Metribuzin</t>
  </si>
  <si>
    <t>Prowl H20/Prowl</t>
  </si>
  <si>
    <t>Sonalan (PPI Only)</t>
  </si>
  <si>
    <t>Spartan</t>
  </si>
  <si>
    <t>Trifluralin (PPI Only)</t>
  </si>
  <si>
    <t>Valor/Valor EZ/Rowel</t>
  </si>
  <si>
    <t>Afforia</t>
  </si>
  <si>
    <t>2/2/14</t>
  </si>
  <si>
    <t>Authority Assist</t>
  </si>
  <si>
    <t>2/14</t>
  </si>
  <si>
    <t>Authority First/Sonic</t>
  </si>
  <si>
    <t>Authority Maxx</t>
  </si>
  <si>
    <t>Authority MTZ</t>
  </si>
  <si>
    <t>5/14</t>
  </si>
  <si>
    <t>Authority XL</t>
  </si>
  <si>
    <t>Canopy/Canopy Blend</t>
  </si>
  <si>
    <t>Envive</t>
  </si>
  <si>
    <t>Fierce XLT</t>
  </si>
  <si>
    <t>2/14/15</t>
  </si>
  <si>
    <t>Flexstar GT 3.5</t>
  </si>
  <si>
    <t>9/14</t>
  </si>
  <si>
    <t>Prefix</t>
  </si>
  <si>
    <t>Spartan Charge</t>
  </si>
  <si>
    <t>14/14</t>
  </si>
  <si>
    <t>Surveil</t>
  </si>
  <si>
    <t>Synchrony XP</t>
  </si>
  <si>
    <t>Trivence</t>
  </si>
  <si>
    <t>2/5/14</t>
  </si>
  <si>
    <t>Valor XLT/Rowl FX</t>
  </si>
  <si>
    <t>Warrant Ultra</t>
  </si>
  <si>
    <t>Zidua Pro</t>
  </si>
  <si>
    <t>Assure II/Targa</t>
  </si>
  <si>
    <t>Classic</t>
  </si>
  <si>
    <t>Cobra</t>
  </si>
  <si>
    <t>Flexstar</t>
  </si>
  <si>
    <t>Fusilade DX</t>
  </si>
  <si>
    <t>Fusion</t>
  </si>
  <si>
    <t>Harmony SG</t>
  </si>
  <si>
    <t>Marvel</t>
  </si>
  <si>
    <t>Phoenix</t>
  </si>
  <si>
    <t>Poast/Poast Plus</t>
  </si>
  <si>
    <t>Pursuit</t>
  </si>
  <si>
    <t>Raptor</t>
  </si>
  <si>
    <t>Select Max/Arrow/Select</t>
  </si>
  <si>
    <t>Ultra Blazer</t>
  </si>
  <si>
    <t>Liberty/Cheetah</t>
  </si>
  <si>
    <t>Cheetah Max</t>
  </si>
  <si>
    <t>Engenia</t>
  </si>
  <si>
    <t>Xtendimax/Fexapan</t>
  </si>
  <si>
    <t>10</t>
  </si>
  <si>
    <t>10/14</t>
  </si>
  <si>
    <t>2,4-D Amine</t>
  </si>
  <si>
    <t>2,4-D Ester</t>
  </si>
  <si>
    <t>Affinity Broadspec</t>
  </si>
  <si>
    <t>Axial XL</t>
  </si>
  <si>
    <t>Curtail</t>
  </si>
  <si>
    <t>Express</t>
  </si>
  <si>
    <t>Harmony</t>
  </si>
  <si>
    <t>Harmony Extra</t>
  </si>
  <si>
    <t>Huskie</t>
  </si>
  <si>
    <t>MCPA</t>
  </si>
  <si>
    <t>Nimble</t>
  </si>
  <si>
    <t>Osprey</t>
  </si>
  <si>
    <t>Peak</t>
  </si>
  <si>
    <t>Powerflex HL</t>
  </si>
  <si>
    <t>Puma</t>
  </si>
  <si>
    <t>Quelex</t>
  </si>
  <si>
    <t>Starane Ultra</t>
  </si>
  <si>
    <t>Talinor</t>
  </si>
  <si>
    <t>Widematch</t>
  </si>
  <si>
    <t>1</t>
  </si>
  <si>
    <t>4/4</t>
  </si>
  <si>
    <t>6/27</t>
  </si>
  <si>
    <t>Wheat Chemicals</t>
  </si>
  <si>
    <t>Total Direct Expense</t>
  </si>
  <si>
    <t>EXPENSES</t>
  </si>
  <si>
    <t>Crop Miscellaneous</t>
  </si>
  <si>
    <t>Repair, Machinery</t>
  </si>
  <si>
    <t>Repair, Buildings</t>
  </si>
  <si>
    <t>Farm Insurance</t>
  </si>
  <si>
    <t>Crop Chemicals</t>
  </si>
  <si>
    <t>Herbicides</t>
  </si>
  <si>
    <t>Aproach SC</t>
  </si>
  <si>
    <t>Headline SC</t>
  </si>
  <si>
    <t>Evito SC</t>
  </si>
  <si>
    <t>Caramba 0.75 SL</t>
  </si>
  <si>
    <t>Folicur 3.6 F</t>
  </si>
  <si>
    <t>Proline 480 SC</t>
  </si>
  <si>
    <t>Prosaro 421 SC</t>
  </si>
  <si>
    <t>Tilt 3.6 EC</t>
  </si>
  <si>
    <t>Absolute Maxx SC</t>
  </si>
  <si>
    <t>Aproach Prima SC</t>
  </si>
  <si>
    <t>Delaro 325 SC</t>
  </si>
  <si>
    <t>Nexicor EC</t>
  </si>
  <si>
    <t>Preemptor SC</t>
  </si>
  <si>
    <t>Quilt Xcel 2.2 SE</t>
  </si>
  <si>
    <t>Trivapro SE</t>
  </si>
  <si>
    <t>Wheat Fungicides</t>
  </si>
  <si>
    <t>Soybean Fungicides</t>
  </si>
  <si>
    <t>Corn Fungicides</t>
  </si>
  <si>
    <t>Quadris 2.08 SC</t>
  </si>
  <si>
    <t>Headline 2.09 EC/SC</t>
  </si>
  <si>
    <t>Aproach 2.08 SC</t>
  </si>
  <si>
    <t>Domark 230 ME</t>
  </si>
  <si>
    <t>Trivapro A 0.83 + Trivapro B 2.2 SE</t>
  </si>
  <si>
    <t>Aproach Prima 2.34 SC</t>
  </si>
  <si>
    <t>Fortix/Preemptor 3.22 SC</t>
  </si>
  <si>
    <t>Priaxor 4.17 SC</t>
  </si>
  <si>
    <t>Headline AMP 1.68 SC</t>
  </si>
  <si>
    <t>Stratego  YLD 4.18 SC</t>
  </si>
  <si>
    <t>Affiance 1.5 SC</t>
  </si>
  <si>
    <t>Income Taxes</t>
  </si>
  <si>
    <t>Principal Payment</t>
  </si>
  <si>
    <t>Gross Revenue</t>
  </si>
  <si>
    <t>Total Gross Revenue</t>
  </si>
  <si>
    <t>Potassium (Potash)</t>
  </si>
  <si>
    <t>Limestone</t>
  </si>
  <si>
    <t>Lannate LV(oz)</t>
  </si>
  <si>
    <t>Lannate LV (lb)</t>
  </si>
  <si>
    <t>Ambush 25W</t>
  </si>
  <si>
    <t>Arctic 3.2 EC</t>
  </si>
  <si>
    <t>Asana XL</t>
  </si>
  <si>
    <t>Baythroid 2</t>
  </si>
  <si>
    <t>Baythroid XL</t>
  </si>
  <si>
    <t>Bifenture EC</t>
  </si>
  <si>
    <t>Brigade 2EC</t>
  </si>
  <si>
    <t>Capture 2EC</t>
  </si>
  <si>
    <t>Carbaryl 4L</t>
  </si>
  <si>
    <t>Chlorpyrifos 4E</t>
  </si>
  <si>
    <t>Cobalt</t>
  </si>
  <si>
    <t>Dimethoate 267</t>
  </si>
  <si>
    <t>Dimethoate 4EC and DiGon 400</t>
  </si>
  <si>
    <t>Entrust</t>
  </si>
  <si>
    <t>Intrepid 2F</t>
  </si>
  <si>
    <t>Lambda-Cy EC</t>
  </si>
  <si>
    <t>Larvin 3.2</t>
  </si>
  <si>
    <t>Leverage 2.7</t>
  </si>
  <si>
    <t>Leverage 360</t>
  </si>
  <si>
    <t>Nufos 4E</t>
  </si>
  <si>
    <t>Orthene 75S</t>
  </si>
  <si>
    <t>Orthene 90S</t>
  </si>
  <si>
    <t>Orthene 97</t>
  </si>
  <si>
    <t>Penncap-M</t>
  </si>
  <si>
    <t>Permethrin/ Perm-Up 3.2EC</t>
  </si>
  <si>
    <t>Pounce 3.2 EC</t>
  </si>
  <si>
    <t>Proaxis</t>
  </si>
  <si>
    <t>Radiant SC</t>
  </si>
  <si>
    <t>Sevin 4 F and XLR Plus</t>
  </si>
  <si>
    <t>Lorsban 4E &amp; Advanced</t>
  </si>
  <si>
    <t>Sevin 80S and 80WSP</t>
  </si>
  <si>
    <t>Silencer</t>
  </si>
  <si>
    <t>Tracer</t>
  </si>
  <si>
    <t>Warrior</t>
  </si>
  <si>
    <t>Dimilin 25W &amp; 2L</t>
  </si>
  <si>
    <t>Pounce 25WP &amp; 3.2 EC</t>
  </si>
  <si>
    <t>Soybean Insecticides</t>
  </si>
  <si>
    <t>http://msuent.com/assets/pdf/1582SoybeanInsects10.pdf</t>
  </si>
  <si>
    <t>Dimethoate 4EC / 400 (5lb)</t>
  </si>
  <si>
    <t>Dimethoate 4EC / 400 (gal)</t>
  </si>
  <si>
    <t>Malathion ULV</t>
  </si>
  <si>
    <t>Malathion 5EC, 8F and 8 Aquamul</t>
  </si>
  <si>
    <t>Aztec 2.1G</t>
  </si>
  <si>
    <t>Aztec 4.67G</t>
  </si>
  <si>
    <t>Baythroid 2 &amp; XL</t>
  </si>
  <si>
    <t>Capture 1.15 G</t>
  </si>
  <si>
    <t xml:space="preserve">Capture LFR </t>
  </si>
  <si>
    <t>Comite</t>
  </si>
  <si>
    <t>Counter 15G</t>
  </si>
  <si>
    <t>Counter CR</t>
  </si>
  <si>
    <t>Deadline MPs 4% bait</t>
  </si>
  <si>
    <t>Dimethoate 5lb</t>
  </si>
  <si>
    <t>Empower 2</t>
  </si>
  <si>
    <t xml:space="preserve">Entrust </t>
  </si>
  <si>
    <t>Force 3G</t>
  </si>
  <si>
    <t>Fortress 5G</t>
  </si>
  <si>
    <t>Lannate LV</t>
  </si>
  <si>
    <t xml:space="preserve">Lorsban 15G </t>
  </si>
  <si>
    <t>Perm-UP 3.2 EC</t>
  </si>
  <si>
    <t>Pounce 25 WP</t>
  </si>
  <si>
    <t xml:space="preserve">Radiant SC </t>
  </si>
  <si>
    <t>Regent 4SC</t>
  </si>
  <si>
    <t xml:space="preserve">Sevin 4F and XLR Plus </t>
  </si>
  <si>
    <t>http://msuent.com/assets/pdf/1582CornInsects10.pdf</t>
  </si>
  <si>
    <t>Mustang Maxx EC &amp; EW</t>
  </si>
  <si>
    <t>Mustang Maxx EC and EW</t>
  </si>
  <si>
    <t xml:space="preserve">Break-even Yield/Acre </t>
  </si>
  <si>
    <t>Break-Even Calculations</t>
  </si>
  <si>
    <t>lbs/ton</t>
  </si>
  <si>
    <t>%/ton</t>
  </si>
  <si>
    <t>Other</t>
  </si>
  <si>
    <r>
      <t xml:space="preserve">Interest </t>
    </r>
    <r>
      <rPr>
        <sz val="10"/>
        <color theme="1"/>
        <rFont val="Calibri"/>
        <family val="2"/>
        <scheme val="minor"/>
      </rPr>
      <t>(Operating)</t>
    </r>
  </si>
  <si>
    <t>Hired Labor</t>
  </si>
  <si>
    <r>
      <t>Interest</t>
    </r>
    <r>
      <rPr>
        <sz val="10"/>
        <color theme="1"/>
        <rFont val="Calibri"/>
        <family val="2"/>
        <scheme val="minor"/>
      </rPr>
      <t xml:space="preserve"> (Term)</t>
    </r>
  </si>
  <si>
    <r>
      <t xml:space="preserve">Return Over Direct Exp </t>
    </r>
    <r>
      <rPr>
        <b/>
        <i/>
        <sz val="10"/>
        <color theme="1"/>
        <rFont val="Calibri"/>
        <family val="2"/>
        <scheme val="minor"/>
      </rPr>
      <t>(Gross Revenue - Direct Exp)</t>
    </r>
  </si>
  <si>
    <t>Government Payments</t>
  </si>
  <si>
    <t>Direct (Variable) Expenses</t>
  </si>
  <si>
    <t>Overhead (Fixed) Expenses</t>
  </si>
  <si>
    <t>Real Estate Taxes</t>
  </si>
  <si>
    <t>Total Overhead Expense</t>
  </si>
  <si>
    <t>Total Direct &amp; Overhead Expense</t>
  </si>
  <si>
    <t>Corn Silage</t>
  </si>
  <si>
    <t>Alfalfa Hay Seeding</t>
  </si>
  <si>
    <t>Variable</t>
  </si>
  <si>
    <t>Fixed</t>
  </si>
  <si>
    <t>Variable &amp; Fixed</t>
  </si>
  <si>
    <t>Other (variable)</t>
  </si>
  <si>
    <r>
      <t>Depreciation</t>
    </r>
    <r>
      <rPr>
        <sz val="10"/>
        <color theme="1"/>
        <rFont val="Calibri"/>
        <family val="2"/>
        <scheme val="minor"/>
      </rPr>
      <t xml:space="preserve"> (Economic)</t>
    </r>
  </si>
  <si>
    <t>Other (fixed)</t>
  </si>
  <si>
    <r>
      <t xml:space="preserve">Other </t>
    </r>
    <r>
      <rPr>
        <sz val="10"/>
        <color theme="1"/>
        <rFont val="Calibri"/>
        <family val="2"/>
        <scheme val="minor"/>
      </rPr>
      <t>(variable &amp; fixed)</t>
    </r>
  </si>
  <si>
    <t>Owner Withdrawal</t>
  </si>
  <si>
    <r>
      <t xml:space="preserve">Interest </t>
    </r>
    <r>
      <rPr>
        <sz val="10"/>
        <color theme="1"/>
        <rFont val="Calibri"/>
        <family val="2"/>
        <scheme val="minor"/>
      </rPr>
      <t>(Oper &amp; Term)</t>
    </r>
  </si>
  <si>
    <r>
      <t>Net Farm Income</t>
    </r>
    <r>
      <rPr>
        <b/>
        <i/>
        <sz val="10"/>
        <color theme="1"/>
        <rFont val="Calibri"/>
        <family val="2"/>
        <scheme val="minor"/>
      </rPr>
      <t xml:space="preserve"> (Gross Rev - Direct &amp; Overhead Exps)</t>
    </r>
  </si>
  <si>
    <t>Net Return (Profit) Break-even</t>
  </si>
  <si>
    <t>Machinery Lease</t>
  </si>
  <si>
    <t>Bushels</t>
  </si>
  <si>
    <t>Price Range</t>
  </si>
  <si>
    <t>from FINBIN</t>
  </si>
  <si>
    <t>Break-even $$/Bushel</t>
  </si>
  <si>
    <t>$$/Bushel</t>
  </si>
  <si>
    <t>Drying Expense</t>
  </si>
  <si>
    <t>Marketing</t>
  </si>
  <si>
    <t>$1 - $3</t>
  </si>
  <si>
    <t>$0 - $2</t>
  </si>
  <si>
    <t>$0 - $16</t>
  </si>
  <si>
    <t>$0 - $5</t>
  </si>
  <si>
    <t>Units/Pkg</t>
  </si>
  <si>
    <t>Planting Rate</t>
  </si>
  <si>
    <t>Cost/Acre</t>
  </si>
  <si>
    <t>DAP (18-46-0)</t>
  </si>
  <si>
    <t>Potash (0-0-60)</t>
  </si>
  <si>
    <t>Fertilizer Calculator</t>
  </si>
  <si>
    <t>Source</t>
  </si>
  <si>
    <t>Price/ton</t>
  </si>
  <si>
    <t>Price/lb</t>
  </si>
  <si>
    <t>Amount</t>
  </si>
  <si>
    <t>Nitrogen from Sulfur</t>
  </si>
  <si>
    <t>Potassium</t>
  </si>
  <si>
    <t>Total Fertilizer</t>
  </si>
  <si>
    <t>Extract Nitrogen Cost from Phosphate Fertilizers</t>
  </si>
  <si>
    <t>Price</t>
  </si>
  <si>
    <t>Extract Nitrogen Cost from Sulfur Fertilizers</t>
  </si>
  <si>
    <t>Seed Cost Calculator</t>
  </si>
  <si>
    <t>Nitrogen (Urea)</t>
  </si>
  <si>
    <t>Nitrogen (28%)</t>
  </si>
  <si>
    <t>Phosphorus (18-46-0)</t>
  </si>
  <si>
    <t>Nitrogen from 18-46-0</t>
  </si>
  <si>
    <t>Nitrogen from 11-52-0</t>
  </si>
  <si>
    <t>Product</t>
  </si>
  <si>
    <t>Price/Ton</t>
  </si>
  <si>
    <t>Urea (46-0-0)</t>
  </si>
  <si>
    <t>MAP (11-52-0)</t>
  </si>
  <si>
    <t>Phosphorus (11-52-0)</t>
  </si>
  <si>
    <t xml:space="preserve">Price/Unit </t>
  </si>
  <si>
    <t>(lb or gal)</t>
  </si>
  <si>
    <t>Total</t>
  </si>
  <si>
    <t>Applied Rate</t>
  </si>
  <si>
    <t>Chemical Calculator</t>
  </si>
  <si>
    <t>Units/Acre</t>
  </si>
  <si>
    <t>Pounds</t>
  </si>
  <si>
    <t>Package Price</t>
  </si>
  <si>
    <t>pints</t>
  </si>
  <si>
    <t>ounces (lb.)</t>
  </si>
  <si>
    <t>ounces (gal)</t>
  </si>
  <si>
    <t>quart</t>
  </si>
  <si>
    <t>none</t>
  </si>
  <si>
    <t>K</t>
  </si>
  <si>
    <t>Bushels/Acre</t>
  </si>
  <si>
    <t>2026 Projected Cost of Production</t>
  </si>
  <si>
    <t>5-Year Average</t>
  </si>
  <si>
    <r>
      <t xml:space="preserve">Base expenses (above) in </t>
    </r>
    <r>
      <rPr>
        <b/>
        <i/>
        <sz val="11"/>
        <color rgb="FF0070C0"/>
        <rFont val="Calibri"/>
        <family val="2"/>
        <scheme val="minor"/>
      </rPr>
      <t>blue</t>
    </r>
    <r>
      <rPr>
        <i/>
        <sz val="11"/>
        <color theme="1"/>
        <rFont val="Calibri"/>
        <family val="2"/>
        <scheme val="minor"/>
      </rPr>
      <t xml:space="preserve"> are averages from FINBIN data from Michigan, Minnesota, Ohio, and Wisconsin</t>
    </r>
  </si>
  <si>
    <r>
      <t xml:space="preserve">All entries in </t>
    </r>
    <r>
      <rPr>
        <b/>
        <i/>
        <sz val="11"/>
        <color rgb="FF0070C0"/>
        <rFont val="Calibri"/>
        <family val="2"/>
        <scheme val="minor"/>
      </rPr>
      <t>blue</t>
    </r>
    <r>
      <rPr>
        <i/>
        <sz val="11"/>
        <color theme="1"/>
        <rFont val="Calibri"/>
        <family val="2"/>
        <scheme val="minor"/>
      </rPr>
      <t xml:space="preserve"> may be edited in Excel budget file</t>
    </r>
  </si>
  <si>
    <t>Nitrogen (ATS)</t>
  </si>
  <si>
    <t>Sulfur (AMS)</t>
  </si>
  <si>
    <t>Sulfur (ATS)</t>
  </si>
  <si>
    <t>ATS (12-0-0-26S)</t>
  </si>
  <si>
    <t>AMS (21-0-0-24S)</t>
  </si>
  <si>
    <t>Manure Calculator</t>
  </si>
  <si>
    <t>Manure (Solid)</t>
  </si>
  <si>
    <t>Days of Incorporation %</t>
  </si>
  <si>
    <t>0-1 days</t>
  </si>
  <si>
    <t>←Incorporation Adjustment</t>
  </si>
  <si>
    <t>Manure (Liquid)</t>
  </si>
  <si>
    <t>&gt;7 days</t>
  </si>
  <si>
    <t>Fertilizer Products &amp; Pricing</t>
  </si>
  <si>
    <t>Days Before Incorporation</t>
  </si>
  <si>
    <t>Retention Factor</t>
  </si>
  <si>
    <t>Manure (solid)</t>
  </si>
  <si>
    <t>----</t>
  </si>
  <si>
    <t>Factor</t>
  </si>
  <si>
    <t>Sulfur</t>
  </si>
  <si>
    <t>2-3 days</t>
  </si>
  <si>
    <t>Manure (liquid)</t>
  </si>
  <si>
    <t>4-7 days</t>
  </si>
  <si>
    <r>
      <t xml:space="preserve">Depreciation </t>
    </r>
    <r>
      <rPr>
        <sz val="12"/>
        <color theme="1"/>
        <rFont val="Calibri"/>
        <family val="2"/>
        <scheme val="minor"/>
      </rPr>
      <t>(Machinery &amp; Buildings)</t>
    </r>
  </si>
  <si>
    <r>
      <t xml:space="preserve">Interest </t>
    </r>
    <r>
      <rPr>
        <sz val="12"/>
        <color theme="1"/>
        <rFont val="Calibri"/>
        <family val="2"/>
        <scheme val="minor"/>
      </rPr>
      <t>(Term)</t>
    </r>
  </si>
  <si>
    <r>
      <t xml:space="preserve">Interest </t>
    </r>
    <r>
      <rPr>
        <sz val="12"/>
        <color theme="1"/>
        <rFont val="Calibri"/>
        <family val="2"/>
        <scheme val="minor"/>
      </rPr>
      <t>(Operating)</t>
    </r>
  </si>
  <si>
    <t>Example: Solid Manure Analysis</t>
  </si>
  <si>
    <t>Example: Liquid Manure Analysis</t>
  </si>
  <si>
    <t>Enter Expense</t>
  </si>
  <si>
    <t>*Note: Input manure values based on nutrient analysis and set days from application to soil incorporation.</t>
  </si>
  <si>
    <t>(Select Below)</t>
  </si>
  <si>
    <t>(Enter --&gt;)</t>
  </si>
  <si>
    <t>Manure liquid)</t>
  </si>
  <si>
    <t>1,000 Gallons</t>
  </si>
  <si>
    <t>Tons</t>
  </si>
  <si>
    <t>per ton</t>
  </si>
  <si>
    <t>per 1,000 gals</t>
  </si>
  <si>
    <t xml:space="preserve">N </t>
  </si>
  <si>
    <t>Nitrogen from 10-34-0</t>
  </si>
  <si>
    <t>Phosphorus (10-34-0)</t>
  </si>
  <si>
    <t>K-Mag (0-0-22-11Mg-21S)</t>
  </si>
  <si>
    <t>APP (10-34-0)</t>
  </si>
  <si>
    <t>Gypsum (0-0-0-17S-21Ca)</t>
  </si>
  <si>
    <t>AMS</t>
  </si>
  <si>
    <t>ATS</t>
  </si>
  <si>
    <t>AgLime</t>
  </si>
  <si>
    <t>For a more detailed budget analysis, visit:</t>
  </si>
  <si>
    <t>For a more detailed fertilizer plan, visit:</t>
  </si>
  <si>
    <t>Fertilizer Cost Comparison Tool for Field Crops</t>
  </si>
  <si>
    <t>Crop Budget Estimator Tool for Grains (Detailed)</t>
  </si>
  <si>
    <t>Weed Control</t>
  </si>
  <si>
    <t>Disease &amp; Insect Control</t>
  </si>
  <si>
    <t>Non-Ionic Surfactant</t>
  </si>
  <si>
    <t>Other Adjuvants</t>
  </si>
  <si>
    <t>Note: All products listed in projected budget are for example purposes only and not considered an endorsement by Michigan State University.</t>
  </si>
  <si>
    <t>Michigan State University Extension</t>
  </si>
  <si>
    <t>1)</t>
  </si>
  <si>
    <t>-</t>
  </si>
  <si>
    <t>2)</t>
  </si>
  <si>
    <t>3)</t>
  </si>
  <si>
    <t>Required information: Product costs per unit (i.e., tons) and application rates</t>
  </si>
  <si>
    <t>Highlighted decision areas for more accurate, detailed costs based on actual or planned input purchases.</t>
  </si>
  <si>
    <t>Required information: Products to be used, product costs per unit (i.e., gallon), and application rates</t>
  </si>
  <si>
    <t>Note: Drop down menu is available for calculating application rate costs</t>
  </si>
  <si>
    <r>
      <t xml:space="preserve">Irrigation, Energy </t>
    </r>
    <r>
      <rPr>
        <sz val="12"/>
        <color theme="1"/>
        <rFont val="Calibri"/>
        <family val="2"/>
        <scheme val="minor"/>
      </rPr>
      <t>(Diesel, Electric, etc.)</t>
    </r>
  </si>
  <si>
    <t>Irrigation, Repair</t>
  </si>
  <si>
    <t>$22 - $36</t>
  </si>
  <si>
    <t>$20 - $30</t>
  </si>
  <si>
    <t>Note: Example fertilizer rates based on Michigan State University example soil test.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</si>
  <si>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Example Soil Test from Michigan State University</t>
  </si>
  <si>
    <t>County:</t>
  </si>
  <si>
    <t>Soil:</t>
  </si>
  <si>
    <t>Soil Type:</t>
  </si>
  <si>
    <t>Soil pH:</t>
  </si>
  <si>
    <t>Target pH:</t>
  </si>
  <si>
    <t>Soil P Lvl:</t>
  </si>
  <si>
    <t>Soil K Lvl:</t>
  </si>
  <si>
    <t>Magnesium Lvl:</t>
  </si>
  <si>
    <t>Calcium:</t>
  </si>
  <si>
    <t>CEC (meg/100 g):</t>
  </si>
  <si>
    <t>% of Exchangeable Bases</t>
  </si>
  <si>
    <t>Mg</t>
  </si>
  <si>
    <t>Ca</t>
  </si>
  <si>
    <t>Organic Matter %</t>
  </si>
  <si>
    <t>Recommendations</t>
  </si>
  <si>
    <t>Phosphate</t>
  </si>
  <si>
    <t>(lb N/A)</t>
  </si>
  <si>
    <t>Limestone Rate:</t>
  </si>
  <si>
    <t>Note: Example fertilizer rates based on Tri-State Fertilizer Recommendations bulletin.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</si>
  <si>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Lime Index:</t>
  </si>
  <si>
    <t>Acknowledgements:</t>
  </si>
  <si>
    <t xml:space="preserve">Template by: </t>
  </si>
  <si>
    <t>Jon LaPorte, Farm Business Management Educator</t>
  </si>
  <si>
    <t>Any example budget can be used to create a projected budget for an individual farm.</t>
  </si>
  <si>
    <r>
      <t xml:space="preserve">Only items that are colored in </t>
    </r>
    <r>
      <rPr>
        <b/>
        <sz val="11"/>
        <color theme="4" tint="-0.249977111117893"/>
        <rFont val="Calibri"/>
        <family val="2"/>
        <scheme val="minor"/>
      </rPr>
      <t>BLUE</t>
    </r>
    <r>
      <rPr>
        <sz val="11"/>
        <color theme="1"/>
        <rFont val="Calibri"/>
        <family val="2"/>
        <scheme val="minor"/>
      </rPr>
      <t xml:space="preserve"> are accessible to be altered.  </t>
    </r>
  </si>
  <si>
    <t>For questions, contact: laportej@msu.edu or eander32@msu.edu</t>
  </si>
  <si>
    <t>Thank you to Erin Burns, Marty Chilvers, Chris DiFonzo, Maninder Singh, Christy Sprague, and Kurt Steinke for providing their expertise and resources towards the tool development.</t>
  </si>
  <si>
    <t>Required information: Seed cost per bag, seeds per bag, and planting population</t>
  </si>
  <si>
    <t>Additional Tools &amp; Notes on Example Products/Rates</t>
  </si>
  <si>
    <t>For more information:</t>
  </si>
  <si>
    <t>Bulletin 974: Tri-State Fertilizer Recommendations &amp; Other Resources</t>
  </si>
  <si>
    <t>2026 Corn Projected Cost of Production</t>
  </si>
  <si>
    <t>Corn Unit Price (i.e. Bag)</t>
  </si>
  <si>
    <t>Corn Cash Price</t>
  </si>
  <si>
    <t>Expected Corn Yield</t>
  </si>
  <si>
    <t>Corn</t>
  </si>
  <si>
    <t>Atrazine 4L</t>
  </si>
  <si>
    <t>$103 - $123</t>
  </si>
  <si>
    <t>$123 - $229</t>
  </si>
  <si>
    <t>$35 - $54</t>
  </si>
  <si>
    <t>$20 - $33</t>
  </si>
  <si>
    <t>$9 - $18</t>
  </si>
  <si>
    <t>$21 - $39</t>
  </si>
  <si>
    <t>$48 - $65</t>
  </si>
  <si>
    <t>$13 - $18</t>
  </si>
  <si>
    <t>$0 - $9</t>
  </si>
  <si>
    <t>$3 - $8</t>
  </si>
  <si>
    <t>$8 - $22</t>
  </si>
  <si>
    <t>$8 - $20</t>
  </si>
  <si>
    <t>$9 - $15</t>
  </si>
  <si>
    <t>$90 - $230</t>
  </si>
  <si>
    <t>$5 - $10</t>
  </si>
  <si>
    <t>$40 - $65</t>
  </si>
  <si>
    <t>76 ppm</t>
  </si>
  <si>
    <t>504 ppm</t>
  </si>
  <si>
    <t>2.5 ton/A</t>
  </si>
  <si>
    <t>Cass</t>
  </si>
  <si>
    <t>Mineral</t>
  </si>
  <si>
    <t>Kalamazoo Sandy Loam</t>
  </si>
  <si>
    <t>Anhydrous (82-0-0)</t>
  </si>
  <si>
    <t>Nitrogen (Anydrous)</t>
  </si>
  <si>
    <t>28% UAN (28-0-0)</t>
  </si>
  <si>
    <t>15 ppm</t>
  </si>
  <si>
    <t>70 ppm</t>
  </si>
  <si>
    <r>
      <rPr>
        <sz val="11"/>
        <color theme="1"/>
        <rFont val="Calibri"/>
        <family val="2"/>
        <scheme val="minor"/>
      </rPr>
      <t xml:space="preserve">Add "N Credit" to "Total N" </t>
    </r>
    <r>
      <rPr>
        <sz val="11"/>
        <color theme="1"/>
        <rFont val="Aptos Narrow"/>
        <family val="2"/>
      </rPr>
      <t>→</t>
    </r>
  </si>
  <si>
    <t>Veltyma</t>
  </si>
  <si>
    <t>Non- Irrigated</t>
  </si>
  <si>
    <t>Roundup PowerMax 3</t>
  </si>
  <si>
    <t>Acuron (post)</t>
  </si>
  <si>
    <t>Bicep II (pre)</t>
  </si>
  <si>
    <t>Roundup PowerMax 3 (post)</t>
  </si>
  <si>
    <t>*See note for more details</t>
  </si>
  <si>
    <t>Irrigated</t>
  </si>
  <si>
    <t>$97 - $140</t>
  </si>
  <si>
    <t>$136 - $256</t>
  </si>
  <si>
    <t>$20 - $40</t>
  </si>
  <si>
    <t>$1 - $4</t>
  </si>
  <si>
    <t>$9 - $20</t>
  </si>
  <si>
    <t>$48 - $70</t>
  </si>
  <si>
    <t>Armezon Pro (pre)</t>
  </si>
  <si>
    <t>Atrazine 4L (post)</t>
  </si>
  <si>
    <t>$9 - $17</t>
  </si>
  <si>
    <t>$250 - $321</t>
  </si>
  <si>
    <t>$6 - $13</t>
  </si>
  <si>
    <t>$54 - $79</t>
  </si>
  <si>
    <t>$123 - $256</t>
  </si>
  <si>
    <t>Provides an example of a farm with a 215-bushel yield goal. Nutrient levels based on an example soil test from Michigan State University. Highlights potential costs if soil levels indicate nutrient build-up is needed.</t>
  </si>
  <si>
    <t>Non-Irrigated Base</t>
  </si>
  <si>
    <t>Non-Irrigated Build-Up</t>
  </si>
  <si>
    <t>Non-Irrigated Push Production</t>
  </si>
  <si>
    <t>Irrigated Base</t>
  </si>
  <si>
    <t>Irrigated Build-Up</t>
  </si>
  <si>
    <t>Irrigated Push Production</t>
  </si>
  <si>
    <t>There are three projections included in this file for Non-Irrigated Corn acres.</t>
  </si>
  <si>
    <t>There are three projections included in this file for Irrigated Corn acres.</t>
  </si>
  <si>
    <t>4)</t>
  </si>
  <si>
    <t>Provides an example of a farm with a 165-bushel yield goal. Nutrient levels based on an example soil test from Michigan State University. Highlights potential costs if soil levels indicate nutrient build-up is needed.</t>
  </si>
  <si>
    <t>Notes:</t>
  </si>
  <si>
    <t xml:space="preserve">Provides an example of a farm with a 215-bushel yield goal.  Nutrient levels based on nutrient removal for P &amp; K and MRTN values for N per recommendations from the Tri-State Fertilizer Recommendations bulletin. </t>
  </si>
  <si>
    <t xml:space="preserve">Provides an example of a farm with a 240-bushel yield goal.  Nutrient levels based on nutrient removal for P &amp; K and MRTN values for N per recommendations from the Tri-State Fertilizer Recommendations bulletin. </t>
  </si>
  <si>
    <t xml:space="preserve">Provides an example of a farm with a 165-bushel yield goal.  Nutrient levels based on nutrient removal for P &amp; K and MRTN values for N per recommendations from the Tri-State Fertilizer Recommendations bulletin. </t>
  </si>
  <si>
    <t>For all projections, the MRTN rates are based on an average N:Corn Price Ratio of 0.15 due to heightened fertilizer prices. Historicaly averages for N:Corn Price Ratios are typically 0.10 or below.</t>
  </si>
  <si>
    <t>$8 - $33</t>
  </si>
  <si>
    <t>Miravis Neo</t>
  </si>
  <si>
    <t>Provides an example of a farm with a 195-bushel yield goal.  Nutrient levels based on nutrient removal for P &amp; K and MRTN values for N per recommendations from the Tri-State Fertilizer Recommendations bulletin.</t>
  </si>
  <si>
    <t>Yield goals are at the top end of the MRTN scale to align with state averages for Michigan. However, yields are not guaranteed with fertilizer applications. All yield goals should consider soil type and environmental factors. For best results, farms are recommended to base fertilizer applications on up-to-date soil test results for most nutrients.</t>
  </si>
  <si>
    <t>Note: N-P-K-S values shown in fertilizer chart are "applied" rates and do not show N credit values. MRTN rates account for N credits to identify remaining nitrogen needs to apply.</t>
  </si>
  <si>
    <t>All corn budgets are based on a corn-soybean rotation, allowing for prior crop N credits. MRTN rates used include prior crop N credits. The 2026 MRTN is included on a separate tab for comparison.</t>
  </si>
  <si>
    <t>Activity</t>
  </si>
  <si>
    <t>Trips/Season</t>
  </si>
  <si>
    <t>Rate</t>
  </si>
  <si>
    <t>**Scouting rate is based on a seasonal rate that includes weekly trips.  Some agriculture companies offer a rate/trip.  The "trip/season" option is provided for farms that wish to input these values.</t>
  </si>
  <si>
    <r>
      <t xml:space="preserve">Scouting </t>
    </r>
    <r>
      <rPr>
        <i/>
        <sz val="12"/>
        <color theme="1"/>
        <rFont val="Calibri"/>
        <family val="2"/>
        <scheme val="minor"/>
      </rPr>
      <t>(see note**)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</si>
</sst>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b/>
      <sz val="14"/>
      <name val="Calibri"/>
      <family val="2"/>
      <scheme val="minor"/>
    </font>
    <font>
      <sz val="14"/>
      <color rgb="FFFF0000"/>
      <name val="Calibri"/>
      <family val="2"/>
      <scheme val="minor"/>
    </font>
    <font>
      <sz val="14"/>
      <name val="Calibri"/>
      <family val="2"/>
      <scheme val="minor"/>
    </font>
    <font>
      <b/>
      <sz val="20"/>
      <color theme="0"/>
      <name val="Calibri"/>
      <family val="2"/>
      <scheme val="minor"/>
    </font>
    <font>
      <b/>
      <sz val="14"/>
      <color theme="0"/>
      <name val="Calibri"/>
      <family val="2"/>
      <scheme val="minor"/>
    </font>
    <font>
      <b/>
      <sz val="16"/>
      <color theme="0"/>
      <name val="Calibri"/>
      <family val="2"/>
      <scheme val="minor"/>
    </font>
    <font>
      <i/>
      <sz val="12"/>
      <color theme="1"/>
      <name val="Calibri"/>
      <family val="2"/>
      <scheme val="minor"/>
    </font>
    <font>
      <sz val="12"/>
      <color theme="4" tint="-0.249977111117893"/>
      <name val="Calibri"/>
      <family val="2"/>
      <scheme val="minor"/>
    </font>
    <font>
      <u/>
      <sz val="11"/>
      <color theme="10"/>
      <name val="Calibri"/>
      <family val="2"/>
      <scheme val="minor"/>
    </font>
    <font>
      <b/>
      <i/>
      <sz val="10"/>
      <color theme="1"/>
      <name val="Calibri"/>
      <family val="2"/>
      <scheme val="minor"/>
    </font>
    <font>
      <sz val="8"/>
      <color theme="4" tint="-0.249977111117893"/>
      <name val="Calibri"/>
      <family val="2"/>
      <scheme val="minor"/>
    </font>
    <font>
      <b/>
      <sz val="14"/>
      <color theme="4" tint="-0.249977111117893"/>
      <name val="Calibri"/>
      <family val="2"/>
      <scheme val="minor"/>
    </font>
    <font>
      <sz val="14"/>
      <color theme="4" tint="-0.249977111117893"/>
      <name val="Calibri"/>
      <family val="2"/>
      <scheme val="minor"/>
    </font>
    <font>
      <i/>
      <sz val="14"/>
      <color theme="1"/>
      <name val="Calibri"/>
      <family val="2"/>
      <scheme val="minor"/>
    </font>
    <font>
      <i/>
      <sz val="14"/>
      <name val="Calibri"/>
      <family val="2"/>
      <scheme val="minor"/>
    </font>
    <font>
      <b/>
      <i/>
      <sz val="14"/>
      <color theme="1"/>
      <name val="Calibri"/>
      <family val="2"/>
      <scheme val="minor"/>
    </font>
    <font>
      <b/>
      <i/>
      <sz val="14"/>
      <name val="Calibri"/>
      <family val="2"/>
      <scheme val="minor"/>
    </font>
    <font>
      <sz val="11"/>
      <color theme="4" tint="-0.249977111117893"/>
      <name val="Calibri"/>
      <family val="2"/>
      <scheme val="minor"/>
    </font>
    <font>
      <i/>
      <sz val="12"/>
      <name val="Calibri"/>
      <family val="2"/>
      <scheme val="minor"/>
    </font>
    <font>
      <i/>
      <sz val="11"/>
      <color theme="1"/>
      <name val="Calibri"/>
      <family val="2"/>
      <scheme val="minor"/>
    </font>
    <font>
      <i/>
      <sz val="11"/>
      <name val="Calibri"/>
      <family val="2"/>
      <scheme val="minor"/>
    </font>
    <font>
      <sz val="11"/>
      <name val="Calibri"/>
      <family val="2"/>
      <scheme val="minor"/>
    </font>
    <font>
      <b/>
      <sz val="14"/>
      <color rgb="FF0070C0"/>
      <name val="Calibri"/>
      <family val="2"/>
      <scheme val="minor"/>
    </font>
    <font>
      <i/>
      <sz val="11"/>
      <color theme="0"/>
      <name val="Calibri"/>
      <family val="2"/>
      <scheme val="minor"/>
    </font>
    <font>
      <b/>
      <i/>
      <sz val="11"/>
      <color rgb="FF0070C0"/>
      <name val="Calibri"/>
      <family val="2"/>
      <scheme val="minor"/>
    </font>
    <font>
      <sz val="8"/>
      <name val="Calibri"/>
      <family val="2"/>
      <scheme val="minor"/>
    </font>
    <font>
      <b/>
      <u/>
      <sz val="14"/>
      <color theme="10"/>
      <name val="Calibri"/>
      <family val="2"/>
      <scheme val="minor"/>
    </font>
    <font>
      <b/>
      <sz val="12"/>
      <color theme="0"/>
      <name val="Calibri"/>
      <family val="2"/>
      <scheme val="minor"/>
    </font>
    <font>
      <b/>
      <i/>
      <sz val="11"/>
      <color theme="1"/>
      <name val="Calibri"/>
      <family val="2"/>
      <scheme val="minor"/>
    </font>
    <font>
      <b/>
      <sz val="11"/>
      <color theme="4" tint="-0.249977111117893"/>
      <name val="Calibri"/>
      <family val="2"/>
      <scheme val="minor"/>
    </font>
    <font>
      <i/>
      <sz val="11"/>
      <color rgb="FF000000"/>
      <name val="Calibri"/>
      <family val="2"/>
      <scheme val="minor"/>
    </font>
    <font>
      <sz val="12"/>
      <color rgb="FF000000"/>
      <name val="Calibri"/>
      <family val="2"/>
      <scheme val="minor"/>
    </font>
    <font>
      <i/>
      <sz val="10"/>
      <color theme="1"/>
      <name val="Calibri"/>
      <family val="2"/>
      <scheme val="minor"/>
    </font>
    <font>
      <b/>
      <i/>
      <u/>
      <sz val="11"/>
      <color theme="10"/>
      <name val="Calibri"/>
      <family val="2"/>
      <scheme val="minor"/>
    </font>
    <font>
      <b/>
      <sz val="18"/>
      <color theme="0"/>
      <name val="Calibri"/>
      <family val="2"/>
      <scheme val="minor"/>
    </font>
    <font>
      <sz val="11"/>
      <color theme="1"/>
      <name val="Aptos Narrow"/>
      <family val="2"/>
    </font>
  </fonts>
  <fills count="11">
    <fill>
      <patternFill patternType="none"/>
    </fill>
    <fill>
      <patternFill patternType="gray125"/>
    </fill>
    <fill>
      <patternFill patternType="solid">
        <fgColor rgb="FF0DB14B"/>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8453B"/>
        <bgColor indexed="64"/>
      </patternFill>
    </fill>
    <fill>
      <patternFill patternType="solid">
        <fgColor theme="2" tint="-9.9978637043366805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cellStyleXfs>
  <cellXfs count="282">
    <xf numFmtId="0" fontId="0" fillId="0" borderId="0" xfId="0"/>
    <xf numFmtId="44" fontId="0" fillId="0" borderId="0" xfId="0" applyNumberFormat="1"/>
    <xf numFmtId="0" fontId="3" fillId="0" borderId="0" xfId="0" applyFont="1"/>
    <xf numFmtId="2" fontId="0" fillId="0" borderId="0" xfId="0" applyNumberFormat="1"/>
    <xf numFmtId="0" fontId="0" fillId="0" borderId="0" xfId="0" applyAlignment="1">
      <alignment horizontal="center"/>
    </xf>
    <xf numFmtId="49" fontId="0" fillId="0" borderId="0" xfId="0" applyNumberFormat="1" applyAlignment="1">
      <alignment horizontal="center"/>
    </xf>
    <xf numFmtId="0" fontId="3" fillId="0" borderId="0" xfId="0" applyFont="1" applyProtection="1">
      <protection locked="0"/>
    </xf>
    <xf numFmtId="0" fontId="8" fillId="0" borderId="0" xfId="0" applyFont="1" applyProtection="1">
      <protection locked="0"/>
    </xf>
    <xf numFmtId="0" fontId="3" fillId="0" borderId="0" xfId="0" applyFont="1" applyAlignment="1" applyProtection="1">
      <alignment horizontal="center"/>
      <protection locked="0"/>
    </xf>
    <xf numFmtId="0" fontId="17" fillId="0" borderId="0" xfId="3"/>
    <xf numFmtId="0" fontId="8" fillId="0" borderId="0" xfId="0" applyFont="1"/>
    <xf numFmtId="164" fontId="3" fillId="0" borderId="0" xfId="0" applyNumberFormat="1" applyFont="1" applyAlignment="1">
      <alignment horizontal="left" vertical="center"/>
    </xf>
    <xf numFmtId="44" fontId="16" fillId="0" borderId="0" xfId="1" applyFont="1" applyFill="1" applyBorder="1" applyAlignment="1" applyProtection="1">
      <alignment horizontal="center" vertical="center"/>
      <protection locked="0"/>
    </xf>
    <xf numFmtId="44" fontId="0" fillId="0" borderId="0" xfId="0" applyNumberFormat="1" applyProtection="1">
      <protection locked="0"/>
    </xf>
    <xf numFmtId="164" fontId="15" fillId="0" borderId="0" xfId="0" applyNumberFormat="1" applyFont="1" applyAlignment="1">
      <alignment horizontal="left" vertical="center" indent="2"/>
    </xf>
    <xf numFmtId="164" fontId="7" fillId="0" borderId="0" xfId="0" applyNumberFormat="1" applyFont="1" applyAlignment="1">
      <alignment horizontal="left" vertical="center" indent="2"/>
    </xf>
    <xf numFmtId="164" fontId="7" fillId="0" borderId="0" xfId="0" applyNumberFormat="1" applyFont="1" applyAlignment="1" applyProtection="1">
      <alignment horizontal="left" vertical="center" indent="2"/>
      <protection locked="0"/>
    </xf>
    <xf numFmtId="44" fontId="11" fillId="0" borderId="0" xfId="1" applyFont="1" applyFill="1" applyBorder="1" applyAlignment="1" applyProtection="1">
      <alignment horizontal="center" vertical="center"/>
    </xf>
    <xf numFmtId="44" fontId="27" fillId="0" borderId="30" xfId="1" applyFont="1" applyFill="1" applyBorder="1" applyAlignment="1" applyProtection="1">
      <alignment horizontal="center" vertical="center"/>
    </xf>
    <xf numFmtId="44" fontId="27" fillId="0" borderId="14" xfId="1" applyFont="1" applyFill="1" applyBorder="1" applyAlignment="1" applyProtection="1">
      <alignment horizontal="center" vertical="center"/>
    </xf>
    <xf numFmtId="44" fontId="27" fillId="0" borderId="21" xfId="1" applyFont="1" applyFill="1" applyBorder="1" applyAlignment="1" applyProtection="1">
      <alignment horizontal="center" vertical="center"/>
    </xf>
    <xf numFmtId="44" fontId="23" fillId="0" borderId="0" xfId="1" applyFont="1" applyFill="1" applyBorder="1" applyAlignment="1" applyProtection="1">
      <alignment horizontal="center" vertical="center"/>
    </xf>
    <xf numFmtId="44" fontId="29" fillId="0" borderId="22" xfId="1" applyFont="1" applyFill="1" applyBorder="1" applyAlignment="1" applyProtection="1">
      <alignment horizontal="center" vertical="center"/>
    </xf>
    <xf numFmtId="44" fontId="25" fillId="0" borderId="30" xfId="1" applyFont="1" applyFill="1" applyBorder="1" applyAlignment="1" applyProtection="1">
      <alignment horizontal="center" vertical="center"/>
    </xf>
    <xf numFmtId="44" fontId="25" fillId="0" borderId="22" xfId="1" applyFont="1" applyFill="1" applyBorder="1" applyAlignment="1" applyProtection="1">
      <alignment horizontal="center" vertical="center"/>
    </xf>
    <xf numFmtId="44" fontId="25" fillId="0" borderId="21" xfId="1" applyFont="1" applyFill="1" applyBorder="1" applyAlignment="1" applyProtection="1">
      <alignment horizontal="center" vertical="center"/>
    </xf>
    <xf numFmtId="44" fontId="29" fillId="0" borderId="17" xfId="1" applyFont="1" applyFill="1" applyBorder="1" applyAlignment="1" applyProtection="1">
      <alignment horizontal="center" vertical="center"/>
    </xf>
    <xf numFmtId="8" fontId="11" fillId="0" borderId="0" xfId="0" applyNumberFormat="1" applyFont="1" applyAlignment="1">
      <alignment horizontal="center"/>
    </xf>
    <xf numFmtId="8" fontId="8" fillId="0" borderId="0" xfId="0" applyNumberFormat="1" applyFont="1" applyAlignment="1">
      <alignment horizontal="center"/>
    </xf>
    <xf numFmtId="44" fontId="11" fillId="0" borderId="4" xfId="1" applyFont="1" applyFill="1" applyBorder="1" applyAlignment="1" applyProtection="1">
      <alignment horizontal="center" vertical="center"/>
    </xf>
    <xf numFmtId="8" fontId="20" fillId="0" borderId="5" xfId="1" applyNumberFormat="1" applyFont="1" applyFill="1" applyBorder="1" applyAlignment="1" applyProtection="1">
      <alignment horizontal="center" vertical="center"/>
    </xf>
    <xf numFmtId="44" fontId="22" fillId="0" borderId="34" xfId="1" applyFont="1" applyFill="1" applyBorder="1" applyAlignment="1" applyProtection="1">
      <alignment horizontal="center" vertical="center"/>
    </xf>
    <xf numFmtId="8" fontId="23" fillId="0" borderId="5" xfId="1" applyNumberFormat="1" applyFont="1" applyFill="1" applyBorder="1" applyAlignment="1" applyProtection="1">
      <alignment horizontal="center" vertical="center"/>
    </xf>
    <xf numFmtId="44" fontId="29" fillId="0" borderId="37" xfId="1" applyFont="1" applyFill="1" applyBorder="1" applyAlignment="1" applyProtection="1">
      <alignment horizontal="center" vertical="center"/>
    </xf>
    <xf numFmtId="44" fontId="32" fillId="0" borderId="31" xfId="1" applyFont="1" applyFill="1" applyBorder="1" applyAlignment="1" applyProtection="1">
      <alignment horizontal="center" vertical="center"/>
    </xf>
    <xf numFmtId="44" fontId="20" fillId="5" borderId="11" xfId="1" applyFont="1" applyFill="1" applyBorder="1" applyAlignment="1" applyProtection="1">
      <alignment horizontal="center"/>
      <protection locked="0"/>
    </xf>
    <xf numFmtId="0" fontId="20" fillId="5" borderId="11" xfId="0" applyFont="1" applyFill="1" applyBorder="1" applyAlignment="1" applyProtection="1">
      <alignment horizontal="center"/>
      <protection locked="0"/>
    </xf>
    <xf numFmtId="0" fontId="8" fillId="0" borderId="0" xfId="0" applyFont="1" applyAlignment="1">
      <alignment horizontal="center"/>
    </xf>
    <xf numFmtId="0" fontId="26" fillId="0" borderId="0" xfId="0" applyFont="1" applyAlignment="1">
      <alignment horizontal="center"/>
    </xf>
    <xf numFmtId="164" fontId="8" fillId="0" borderId="0" xfId="0" applyNumberFormat="1" applyFont="1" applyAlignment="1">
      <alignment horizontal="center"/>
    </xf>
    <xf numFmtId="164" fontId="8" fillId="0" borderId="12" xfId="0" applyNumberFormat="1" applyFont="1" applyBorder="1" applyAlignment="1">
      <alignment horizontal="center"/>
    </xf>
    <xf numFmtId="164" fontId="8" fillId="0" borderId="7" xfId="0" applyNumberFormat="1" applyFont="1" applyBorder="1" applyAlignment="1">
      <alignment horizontal="center"/>
    </xf>
    <xf numFmtId="0" fontId="8" fillId="0" borderId="0" xfId="0" applyFont="1" applyAlignment="1" applyProtection="1">
      <alignment horizontal="center"/>
      <protection locked="0"/>
    </xf>
    <xf numFmtId="0" fontId="11" fillId="0" borderId="0" xfId="0" applyFont="1" applyAlignment="1" applyProtection="1">
      <alignment horizontal="center"/>
      <protection locked="0"/>
    </xf>
    <xf numFmtId="0" fontId="8" fillId="0" borderId="0" xfId="0" applyFont="1" applyAlignment="1">
      <alignment wrapText="1"/>
    </xf>
    <xf numFmtId="164" fontId="4" fillId="0" borderId="0" xfId="1" applyNumberFormat="1" applyFont="1" applyFill="1" applyBorder="1" applyAlignment="1" applyProtection="1">
      <alignment horizontal="center"/>
    </xf>
    <xf numFmtId="164" fontId="8" fillId="0" borderId="14" xfId="0" applyNumberFormat="1" applyFont="1" applyBorder="1" applyAlignment="1">
      <alignment horizontal="center"/>
    </xf>
    <xf numFmtId="164" fontId="4" fillId="0" borderId="0" xfId="0" applyNumberFormat="1" applyFont="1" applyProtection="1">
      <protection locked="0"/>
    </xf>
    <xf numFmtId="0" fontId="11" fillId="0" borderId="11" xfId="0" applyFont="1" applyBorder="1" applyAlignment="1" applyProtection="1">
      <alignment horizontal="center"/>
      <protection locked="0"/>
    </xf>
    <xf numFmtId="6" fontId="11" fillId="0" borderId="11" xfId="0" applyNumberFormat="1" applyFont="1" applyBorder="1" applyAlignment="1" applyProtection="1">
      <alignment horizontal="center"/>
      <protection locked="0"/>
    </xf>
    <xf numFmtId="164" fontId="11" fillId="0" borderId="11" xfId="1" applyNumberFormat="1" applyFont="1" applyFill="1" applyBorder="1" applyAlignment="1" applyProtection="1">
      <alignment horizontal="center"/>
      <protection locked="0"/>
    </xf>
    <xf numFmtId="0" fontId="11" fillId="0" borderId="0" xfId="0" applyFont="1" applyAlignment="1">
      <alignment horizontal="center"/>
    </xf>
    <xf numFmtId="2" fontId="11" fillId="0" borderId="11" xfId="0" applyNumberFormat="1" applyFont="1" applyBorder="1" applyAlignment="1" applyProtection="1">
      <alignment horizontal="center"/>
      <protection locked="0"/>
    </xf>
    <xf numFmtId="9" fontId="3" fillId="0" borderId="0" xfId="2" applyFont="1" applyAlignment="1" applyProtection="1">
      <alignment horizontal="center"/>
      <protection locked="0"/>
    </xf>
    <xf numFmtId="0" fontId="8" fillId="0" borderId="0" xfId="0" applyFont="1" applyAlignment="1">
      <alignment horizontal="center" wrapText="1"/>
    </xf>
    <xf numFmtId="49" fontId="20" fillId="5" borderId="11" xfId="0" applyNumberFormat="1" applyFont="1" applyFill="1" applyBorder="1" applyAlignment="1" applyProtection="1">
      <alignment horizontal="center"/>
      <protection locked="0"/>
    </xf>
    <xf numFmtId="165" fontId="8" fillId="0" borderId="0" xfId="0" applyNumberFormat="1" applyFont="1" applyProtection="1">
      <protection locked="0"/>
    </xf>
    <xf numFmtId="8" fontId="8" fillId="0" borderId="0" xfId="0" applyNumberFormat="1" applyFont="1" applyAlignment="1" applyProtection="1">
      <alignment horizontal="center"/>
      <protection locked="0"/>
    </xf>
    <xf numFmtId="49" fontId="0" fillId="0" borderId="0" xfId="0" applyNumberFormat="1"/>
    <xf numFmtId="0" fontId="0" fillId="0" borderId="0" xfId="0" quotePrefix="1"/>
    <xf numFmtId="0" fontId="31" fillId="5" borderId="11" xfId="0" applyFont="1" applyFill="1" applyBorder="1" applyAlignment="1" applyProtection="1">
      <alignment horizontal="center"/>
      <protection locked="0"/>
    </xf>
    <xf numFmtId="0" fontId="21" fillId="5" borderId="11" xfId="0" applyFont="1" applyFill="1" applyBorder="1" applyAlignment="1" applyProtection="1">
      <alignment horizontal="center"/>
      <protection locked="0"/>
    </xf>
    <xf numFmtId="44" fontId="25" fillId="0" borderId="11" xfId="1" applyFont="1" applyFill="1" applyBorder="1" applyAlignment="1" applyProtection="1">
      <alignment horizontal="center" vertical="center"/>
    </xf>
    <xf numFmtId="3" fontId="20" fillId="5" borderId="11" xfId="4" applyNumberFormat="1" applyFont="1" applyFill="1" applyBorder="1" applyAlignment="1" applyProtection="1">
      <alignment horizontal="center"/>
      <protection locked="0"/>
    </xf>
    <xf numFmtId="2" fontId="11" fillId="0" borderId="0" xfId="0" applyNumberFormat="1" applyFont="1" applyAlignment="1" applyProtection="1">
      <alignment horizontal="center"/>
      <protection locked="0"/>
    </xf>
    <xf numFmtId="0" fontId="20" fillId="5" borderId="11" xfId="0" applyFont="1" applyFill="1" applyBorder="1" applyAlignment="1" applyProtection="1">
      <alignment horizontal="left"/>
      <protection locked="0"/>
    </xf>
    <xf numFmtId="0" fontId="13" fillId="2" borderId="0" xfId="0" applyFont="1" applyFill="1" applyAlignment="1">
      <alignment horizontal="center"/>
    </xf>
    <xf numFmtId="44" fontId="31" fillId="7" borderId="11" xfId="0" applyNumberFormat="1" applyFont="1" applyFill="1" applyBorder="1" applyAlignment="1" applyProtection="1">
      <alignment horizontal="center"/>
      <protection locked="0"/>
    </xf>
    <xf numFmtId="2" fontId="31" fillId="7" borderId="11" xfId="0" applyNumberFormat="1" applyFont="1" applyFill="1" applyBorder="1" applyAlignment="1" applyProtection="1">
      <alignment horizontal="right"/>
      <protection locked="0"/>
    </xf>
    <xf numFmtId="44" fontId="31" fillId="5" borderId="11" xfId="1" applyFont="1" applyFill="1" applyBorder="1" applyAlignment="1" applyProtection="1">
      <alignment horizontal="center" vertical="center"/>
      <protection locked="0"/>
    </xf>
    <xf numFmtId="44" fontId="31" fillId="5" borderId="11" xfId="0" applyNumberFormat="1" applyFont="1" applyFill="1" applyBorder="1" applyAlignment="1" applyProtection="1">
      <alignment horizontal="center"/>
      <protection locked="0"/>
    </xf>
    <xf numFmtId="1" fontId="11" fillId="8" borderId="11" xfId="0" applyNumberFormat="1" applyFont="1" applyFill="1" applyBorder="1" applyAlignment="1">
      <alignment horizontal="right"/>
    </xf>
    <xf numFmtId="0" fontId="20" fillId="5" borderId="24" xfId="0" applyFont="1" applyFill="1" applyBorder="1" applyProtection="1">
      <protection locked="0"/>
    </xf>
    <xf numFmtId="0" fontId="20" fillId="5" borderId="23" xfId="0" applyFont="1" applyFill="1" applyBorder="1" applyProtection="1">
      <protection locked="0"/>
    </xf>
    <xf numFmtId="44" fontId="27" fillId="0" borderId="11" xfId="1" applyFont="1" applyFill="1" applyBorder="1" applyAlignment="1" applyProtection="1">
      <alignment horizontal="center" vertical="center"/>
    </xf>
    <xf numFmtId="0" fontId="36" fillId="6" borderId="0" xfId="0" applyFont="1" applyFill="1" applyAlignment="1">
      <alignment horizontal="center" vertical="center"/>
    </xf>
    <xf numFmtId="0" fontId="0" fillId="6" borderId="0" xfId="0" applyFill="1"/>
    <xf numFmtId="0" fontId="0" fillId="8" borderId="0" xfId="0" applyFill="1"/>
    <xf numFmtId="0" fontId="12" fillId="6" borderId="0" xfId="0" applyFont="1" applyFill="1" applyAlignment="1">
      <alignment vertical="center"/>
    </xf>
    <xf numFmtId="0" fontId="2" fillId="8" borderId="0" xfId="0" applyFont="1" applyFill="1" applyAlignment="1">
      <alignment horizontal="right"/>
    </xf>
    <xf numFmtId="0" fontId="37" fillId="8" borderId="0" xfId="0" applyFont="1" applyFill="1"/>
    <xf numFmtId="0" fontId="0" fillId="8" borderId="0" xfId="0" quotePrefix="1" applyFill="1" applyAlignment="1">
      <alignment horizontal="center"/>
    </xf>
    <xf numFmtId="0" fontId="0" fillId="8" borderId="0" xfId="0" applyFill="1" applyAlignment="1">
      <alignment horizontal="left" wrapText="1"/>
    </xf>
    <xf numFmtId="0" fontId="28" fillId="8" borderId="0" xfId="0" applyFont="1" applyFill="1"/>
    <xf numFmtId="0" fontId="0" fillId="9" borderId="0" xfId="0" applyFill="1"/>
    <xf numFmtId="0" fontId="0" fillId="10" borderId="0" xfId="0" applyFill="1"/>
    <xf numFmtId="0" fontId="21" fillId="0" borderId="4" xfId="0" applyFont="1" applyBorder="1" applyAlignment="1">
      <alignment vertical="center"/>
    </xf>
    <xf numFmtId="0" fontId="10" fillId="0" borderId="1" xfId="0" applyFont="1" applyBorder="1"/>
    <xf numFmtId="0" fontId="10" fillId="0" borderId="2" xfId="0" applyFont="1" applyBorder="1"/>
    <xf numFmtId="0" fontId="8" fillId="0" borderId="2" xfId="0" applyFont="1" applyBorder="1"/>
    <xf numFmtId="0" fontId="8" fillId="0" borderId="3" xfId="0" applyFont="1" applyBorder="1"/>
    <xf numFmtId="0" fontId="6" fillId="0" borderId="4" xfId="0" applyFont="1" applyBorder="1" applyAlignment="1">
      <alignment vertical="center"/>
    </xf>
    <xf numFmtId="0" fontId="6"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35" fillId="0" borderId="0" xfId="3" applyFont="1" applyProtection="1"/>
    <xf numFmtId="0" fontId="24" fillId="4" borderId="29" xfId="0" applyFont="1" applyFill="1" applyBorder="1" applyAlignment="1">
      <alignment horizontal="center" vertical="center"/>
    </xf>
    <xf numFmtId="0" fontId="4" fillId="0" borderId="12" xfId="0" applyFont="1" applyBorder="1" applyAlignment="1">
      <alignment vertical="center"/>
    </xf>
    <xf numFmtId="0" fontId="28" fillId="0" borderId="0" xfId="0" applyFont="1" applyAlignment="1">
      <alignment horizontal="center" vertical="center"/>
    </xf>
    <xf numFmtId="8" fontId="11" fillId="0" borderId="5" xfId="0" applyNumberFormat="1" applyFont="1" applyBorder="1" applyAlignment="1">
      <alignment horizontal="center" vertical="center"/>
    </xf>
    <xf numFmtId="2" fontId="19" fillId="0" borderId="0" xfId="0" applyNumberFormat="1" applyFont="1" applyAlignment="1">
      <alignment horizontal="center"/>
    </xf>
    <xf numFmtId="0" fontId="4" fillId="4" borderId="23" xfId="0" applyFont="1" applyFill="1" applyBorder="1" applyAlignment="1">
      <alignment horizontal="center" vertical="center"/>
    </xf>
    <xf numFmtId="0" fontId="4" fillId="0" borderId="0" xfId="0" applyFont="1" applyAlignment="1">
      <alignment vertical="center"/>
    </xf>
    <xf numFmtId="166" fontId="31" fillId="0" borderId="7" xfId="0" applyNumberFormat="1" applyFont="1" applyBorder="1" applyAlignment="1">
      <alignment horizontal="right"/>
    </xf>
    <xf numFmtId="164" fontId="8" fillId="0" borderId="24" xfId="0" applyNumberFormat="1" applyFont="1" applyBorder="1" applyAlignment="1">
      <alignment horizontal="left" vertical="center"/>
    </xf>
    <xf numFmtId="164" fontId="8" fillId="0" borderId="0" xfId="0" applyNumberFormat="1" applyFont="1" applyAlignment="1">
      <alignment horizontal="center" vertical="center"/>
    </xf>
    <xf numFmtId="8" fontId="32" fillId="0" borderId="0" xfId="1" applyNumberFormat="1" applyFont="1" applyFill="1" applyBorder="1" applyAlignment="1" applyProtection="1">
      <alignment horizontal="center" vertical="center"/>
    </xf>
    <xf numFmtId="8" fontId="29" fillId="0" borderId="13" xfId="1" applyNumberFormat="1" applyFont="1" applyFill="1" applyBorder="1" applyAlignment="1" applyProtection="1">
      <alignment horizontal="center" vertical="center"/>
    </xf>
    <xf numFmtId="8" fontId="21" fillId="0" borderId="4" xfId="0" applyNumberFormat="1" applyFont="1" applyBorder="1" applyAlignment="1">
      <alignment horizontal="center" vertical="center"/>
    </xf>
    <xf numFmtId="0" fontId="8" fillId="0" borderId="24" xfId="0" applyFont="1" applyBorder="1"/>
    <xf numFmtId="0" fontId="32" fillId="0" borderId="0" xfId="0" applyFont="1" applyAlignment="1">
      <alignment horizontal="center" vertical="center"/>
    </xf>
    <xf numFmtId="0" fontId="29" fillId="0" borderId="13" xfId="0" applyFont="1" applyBorder="1" applyAlignment="1">
      <alignment horizontal="center" vertical="center"/>
    </xf>
    <xf numFmtId="8" fontId="11" fillId="0" borderId="4" xfId="0" applyNumberFormat="1" applyFont="1" applyBorder="1" applyAlignment="1">
      <alignment horizontal="center" vertical="center"/>
    </xf>
    <xf numFmtId="8" fontId="8" fillId="0" borderId="4" xfId="0" applyNumberFormat="1" applyFont="1" applyBorder="1" applyAlignment="1">
      <alignment horizontal="center" vertical="center"/>
    </xf>
    <xf numFmtId="164" fontId="8" fillId="0" borderId="13" xfId="0" applyNumberFormat="1" applyFont="1" applyBorder="1" applyAlignment="1">
      <alignment horizontal="center" vertical="center"/>
    </xf>
    <xf numFmtId="0" fontId="20" fillId="0" borderId="12" xfId="0" applyFont="1" applyBorder="1" applyAlignment="1">
      <alignment horizontal="center" vertical="center"/>
    </xf>
    <xf numFmtId="0" fontId="8" fillId="0" borderId="24" xfId="0" applyFont="1" applyBorder="1" applyAlignment="1">
      <alignment horizontal="left"/>
    </xf>
    <xf numFmtId="0" fontId="8" fillId="0" borderId="0" xfId="0" applyFont="1" applyAlignment="1">
      <alignment horizontal="left"/>
    </xf>
    <xf numFmtId="44" fontId="32" fillId="0" borderId="0" xfId="0" applyNumberFormat="1" applyFont="1" applyAlignment="1">
      <alignment horizontal="center"/>
    </xf>
    <xf numFmtId="44" fontId="29" fillId="0" borderId="13" xfId="0" applyNumberFormat="1" applyFont="1" applyBorder="1" applyAlignment="1">
      <alignment horizontal="center"/>
    </xf>
    <xf numFmtId="44" fontId="20" fillId="0" borderId="11" xfId="0" applyNumberFormat="1" applyFont="1" applyBorder="1" applyAlignment="1">
      <alignment horizontal="center"/>
    </xf>
    <xf numFmtId="8" fontId="11" fillId="0" borderId="5" xfId="0" applyNumberFormat="1" applyFont="1" applyBorder="1" applyAlignment="1">
      <alignment horizontal="center"/>
    </xf>
    <xf numFmtId="8" fontId="8" fillId="0" borderId="4" xfId="0" applyNumberFormat="1" applyFont="1" applyBorder="1" applyAlignment="1">
      <alignment horizontal="center"/>
    </xf>
    <xf numFmtId="164" fontId="8" fillId="0" borderId="12" xfId="0" applyNumberFormat="1" applyFont="1" applyBorder="1" applyAlignment="1">
      <alignment horizontal="center" vertical="center"/>
    </xf>
    <xf numFmtId="8" fontId="32" fillId="0" borderId="0" xfId="0" applyNumberFormat="1" applyFont="1" applyAlignment="1">
      <alignment horizontal="center" vertical="center"/>
    </xf>
    <xf numFmtId="8" fontId="29" fillId="0" borderId="0" xfId="0" applyNumberFormat="1" applyFont="1" applyAlignment="1">
      <alignment horizontal="center" vertical="center"/>
    </xf>
    <xf numFmtId="8" fontId="20" fillId="0" borderId="35" xfId="0" applyNumberFormat="1" applyFont="1" applyBorder="1" applyAlignment="1">
      <alignment horizontal="center" vertical="center"/>
    </xf>
    <xf numFmtId="164" fontId="8" fillId="0" borderId="27" xfId="0" applyNumberFormat="1" applyFont="1" applyBorder="1" applyAlignment="1">
      <alignment horizontal="left" vertical="center"/>
    </xf>
    <xf numFmtId="8" fontId="29" fillId="0" borderId="13" xfId="0" applyNumberFormat="1" applyFont="1" applyBorder="1" applyAlignment="1">
      <alignment horizontal="center" vertical="center"/>
    </xf>
    <xf numFmtId="8" fontId="4" fillId="0" borderId="18" xfId="0" applyNumberFormat="1" applyFont="1" applyBorder="1" applyAlignment="1">
      <alignment horizontal="center" vertical="center"/>
    </xf>
    <xf numFmtId="8" fontId="4" fillId="0" borderId="16" xfId="0" applyNumberFormat="1" applyFont="1" applyBorder="1" applyAlignment="1">
      <alignment horizontal="center" vertical="center"/>
    </xf>
    <xf numFmtId="8" fontId="9" fillId="0" borderId="4" xfId="0" applyNumberFormat="1" applyFont="1" applyBorder="1" applyAlignment="1">
      <alignment horizontal="center" vertical="center"/>
    </xf>
    <xf numFmtId="0" fontId="22" fillId="0" borderId="0" xfId="0" applyFont="1" applyAlignment="1">
      <alignment horizontal="center"/>
    </xf>
    <xf numFmtId="164" fontId="29" fillId="0" borderId="0" xfId="0" applyNumberFormat="1" applyFont="1" applyAlignment="1">
      <alignment horizontal="center" vertical="center"/>
    </xf>
    <xf numFmtId="8" fontId="8" fillId="0" borderId="0" xfId="0" applyNumberFormat="1" applyFont="1" applyAlignment="1">
      <alignment horizontal="center" vertical="center"/>
    </xf>
    <xf numFmtId="8" fontId="8" fillId="0" borderId="5" xfId="0" applyNumberFormat="1" applyFont="1" applyBorder="1" applyAlignment="1">
      <alignment horizontal="center" vertical="center"/>
    </xf>
    <xf numFmtId="9" fontId="8" fillId="0" borderId="0" xfId="0" applyNumberFormat="1" applyFont="1" applyAlignment="1">
      <alignment horizontal="center"/>
    </xf>
    <xf numFmtId="164" fontId="24" fillId="4" borderId="27" xfId="0" applyNumberFormat="1" applyFont="1" applyFill="1" applyBorder="1" applyAlignment="1">
      <alignment horizontal="center" vertical="center"/>
    </xf>
    <xf numFmtId="164" fontId="4" fillId="0" borderId="0" xfId="0" applyNumberFormat="1" applyFont="1" applyAlignment="1">
      <alignment horizontal="center" vertical="center"/>
    </xf>
    <xf numFmtId="0" fontId="15" fillId="0" borderId="0" xfId="0" applyFont="1" applyAlignment="1">
      <alignment horizontal="center" vertical="center"/>
    </xf>
    <xf numFmtId="8" fontId="26" fillId="0" borderId="0" xfId="0" applyNumberFormat="1" applyFont="1" applyAlignment="1">
      <alignment horizontal="center" vertical="center"/>
    </xf>
    <xf numFmtId="8" fontId="21" fillId="0" borderId="5" xfId="0" applyNumberFormat="1" applyFont="1" applyBorder="1" applyAlignment="1">
      <alignment horizontal="center" vertical="center"/>
    </xf>
    <xf numFmtId="0" fontId="4" fillId="4" borderId="23" xfId="0" applyFont="1" applyFill="1" applyBorder="1" applyAlignment="1">
      <alignment horizontal="center"/>
    </xf>
    <xf numFmtId="8" fontId="4" fillId="0" borderId="7" xfId="0" applyNumberFormat="1" applyFont="1" applyBorder="1" applyAlignment="1">
      <alignment horizontal="center" vertical="center"/>
    </xf>
    <xf numFmtId="8" fontId="4" fillId="0" borderId="8" xfId="0" applyNumberFormat="1" applyFont="1" applyBorder="1" applyAlignment="1">
      <alignment horizontal="center" vertical="center"/>
    </xf>
    <xf numFmtId="44" fontId="9" fillId="0" borderId="11" xfId="0" applyNumberFormat="1" applyFont="1" applyBorder="1" applyAlignment="1">
      <alignment horizontal="center"/>
    </xf>
    <xf numFmtId="0" fontId="3" fillId="0" borderId="0" xfId="0" applyFont="1" applyAlignment="1">
      <alignment horizontal="center"/>
    </xf>
    <xf numFmtId="1" fontId="8" fillId="0" borderId="0" xfId="0" applyNumberFormat="1" applyFont="1" applyAlignment="1">
      <alignment horizontal="center"/>
    </xf>
    <xf numFmtId="44" fontId="9" fillId="0" borderId="11" xfId="1" applyFont="1" applyFill="1" applyBorder="1" applyAlignment="1" applyProtection="1">
      <alignment horizontal="center" vertical="center"/>
    </xf>
    <xf numFmtId="164" fontId="8" fillId="0" borderId="0" xfId="0" applyNumberFormat="1" applyFont="1"/>
    <xf numFmtId="0" fontId="0" fillId="0" borderId="0" xfId="0" applyAlignment="1">
      <alignment vertical="center"/>
    </xf>
    <xf numFmtId="0" fontId="28" fillId="0" borderId="0" xfId="0" applyFont="1"/>
    <xf numFmtId="0" fontId="4" fillId="0" borderId="0" xfId="0" applyFont="1"/>
    <xf numFmtId="164" fontId="9" fillId="0" borderId="0" xfId="0" applyNumberFormat="1" applyFont="1" applyAlignment="1">
      <alignment horizontal="center"/>
    </xf>
    <xf numFmtId="0" fontId="28" fillId="0" borderId="0" xfId="0" applyFont="1" applyAlignment="1">
      <alignment horizontal="center"/>
    </xf>
    <xf numFmtId="0" fontId="4" fillId="4" borderId="11" xfId="0" applyFont="1" applyFill="1" applyBorder="1" applyAlignment="1">
      <alignment horizontal="center"/>
    </xf>
    <xf numFmtId="1" fontId="8" fillId="0" borderId="11" xfId="0" applyNumberFormat="1" applyFont="1" applyBorder="1" applyAlignment="1">
      <alignment horizontal="center"/>
    </xf>
    <xf numFmtId="1" fontId="22" fillId="0" borderId="0" xfId="0" applyNumberFormat="1" applyFont="1" applyAlignment="1">
      <alignment horizontal="center"/>
    </xf>
    <xf numFmtId="2" fontId="8" fillId="0" borderId="0" xfId="0" applyNumberFormat="1" applyFont="1"/>
    <xf numFmtId="49" fontId="8" fillId="0" borderId="0" xfId="0" applyNumberFormat="1" applyFont="1"/>
    <xf numFmtId="44" fontId="30" fillId="0" borderId="17" xfId="1" applyFont="1" applyFill="1" applyBorder="1" applyAlignment="1" applyProtection="1">
      <alignment horizontal="center" vertical="center"/>
    </xf>
    <xf numFmtId="0" fontId="24" fillId="0" borderId="0" xfId="0" applyFont="1"/>
    <xf numFmtId="0" fontId="22" fillId="0" borderId="0" xfId="0" applyFont="1"/>
    <xf numFmtId="164" fontId="22" fillId="0" borderId="25" xfId="0" applyNumberFormat="1" applyFont="1" applyBorder="1" applyAlignment="1">
      <alignment horizontal="left" vertical="center"/>
    </xf>
    <xf numFmtId="164" fontId="22" fillId="0" borderId="31" xfId="0" applyNumberFormat="1" applyFont="1" applyBorder="1" applyAlignment="1">
      <alignment horizontal="center" vertical="center"/>
    </xf>
    <xf numFmtId="8" fontId="23" fillId="0" borderId="34" xfId="0" applyNumberFormat="1" applyFont="1" applyBorder="1" applyAlignment="1">
      <alignment horizontal="center" vertical="center"/>
    </xf>
    <xf numFmtId="0" fontId="24" fillId="0" borderId="23" xfId="0" applyFont="1" applyBorder="1" applyAlignment="1">
      <alignment horizontal="left"/>
    </xf>
    <xf numFmtId="164" fontId="24" fillId="0" borderId="0" xfId="0" applyNumberFormat="1" applyFont="1" applyAlignment="1">
      <alignment horizontal="center" vertical="center"/>
    </xf>
    <xf numFmtId="8" fontId="15" fillId="0" borderId="38" xfId="0" applyNumberFormat="1" applyFont="1" applyBorder="1" applyAlignment="1">
      <alignment horizontal="center" vertical="center"/>
    </xf>
    <xf numFmtId="8" fontId="28" fillId="0" borderId="13" xfId="0" applyNumberFormat="1" applyFont="1" applyBorder="1" applyAlignment="1">
      <alignment horizontal="center" vertical="center"/>
    </xf>
    <xf numFmtId="8" fontId="25" fillId="0" borderId="14" xfId="0" applyNumberFormat="1" applyFont="1" applyBorder="1" applyAlignment="1">
      <alignment horizontal="center" vertical="center"/>
    </xf>
    <xf numFmtId="8" fontId="24" fillId="0" borderId="16" xfId="0" applyNumberFormat="1" applyFont="1" applyBorder="1" applyAlignment="1">
      <alignment horizontal="center" vertical="center"/>
    </xf>
    <xf numFmtId="164" fontId="4" fillId="0" borderId="24" xfId="0" applyNumberFormat="1" applyFont="1" applyBorder="1" applyAlignment="1">
      <alignment horizontal="left"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8" fontId="23" fillId="0" borderId="32" xfId="0" applyNumberFormat="1" applyFont="1" applyBorder="1" applyAlignment="1">
      <alignment horizontal="center" vertical="center"/>
    </xf>
    <xf numFmtId="0" fontId="4" fillId="4" borderId="28" xfId="0" applyFont="1" applyFill="1" applyBorder="1" applyAlignment="1">
      <alignment horizontal="center"/>
    </xf>
    <xf numFmtId="0" fontId="8" fillId="0" borderId="27" xfId="0" applyFont="1" applyBorder="1"/>
    <xf numFmtId="0" fontId="22" fillId="0" borderId="23" xfId="0" applyFont="1" applyBorder="1" applyAlignment="1">
      <alignment horizontal="left"/>
    </xf>
    <xf numFmtId="164" fontId="22" fillId="0" borderId="0" xfId="0" applyNumberFormat="1" applyFont="1" applyAlignment="1">
      <alignment horizontal="center" vertical="center"/>
    </xf>
    <xf numFmtId="0" fontId="22" fillId="0" borderId="25" xfId="0" applyFont="1" applyBorder="1" applyAlignment="1">
      <alignment horizontal="left"/>
    </xf>
    <xf numFmtId="0" fontId="24" fillId="0" borderId="23" xfId="0" applyFont="1" applyBorder="1"/>
    <xf numFmtId="8" fontId="29" fillId="0" borderId="38" xfId="0" applyNumberFormat="1" applyFont="1" applyBorder="1" applyAlignment="1">
      <alignment horizontal="center" vertical="center"/>
    </xf>
    <xf numFmtId="44" fontId="24" fillId="0" borderId="14" xfId="0" applyNumberFormat="1" applyFont="1" applyBorder="1" applyAlignment="1">
      <alignment horizontal="center" vertical="center"/>
    </xf>
    <xf numFmtId="0" fontId="4" fillId="0" borderId="36" xfId="0" applyFont="1" applyBorder="1" applyAlignment="1">
      <alignment horizontal="left"/>
    </xf>
    <xf numFmtId="8" fontId="4" fillId="0" borderId="0" xfId="0" applyNumberFormat="1" applyFont="1" applyAlignment="1">
      <alignment horizontal="center" vertical="center"/>
    </xf>
    <xf numFmtId="8" fontId="25" fillId="0" borderId="0" xfId="0" applyNumberFormat="1" applyFont="1" applyAlignment="1">
      <alignment horizontal="center" vertical="center"/>
    </xf>
    <xf numFmtId="8" fontId="24" fillId="0" borderId="5" xfId="0" applyNumberFormat="1" applyFont="1" applyBorder="1" applyAlignment="1">
      <alignment horizontal="center" vertical="center"/>
    </xf>
    <xf numFmtId="8" fontId="24" fillId="0" borderId="0" xfId="0" applyNumberFormat="1" applyFont="1" applyAlignment="1">
      <alignment horizontal="center" vertical="center"/>
    </xf>
    <xf numFmtId="0" fontId="13" fillId="6" borderId="4" xfId="0" applyFont="1" applyFill="1" applyBorder="1" applyAlignment="1">
      <alignment horizontal="center"/>
    </xf>
    <xf numFmtId="0" fontId="13" fillId="6" borderId="0" xfId="0" applyFont="1" applyFill="1" applyAlignment="1">
      <alignment horizontal="center"/>
    </xf>
    <xf numFmtId="0" fontId="13" fillId="6" borderId="5" xfId="0" applyFont="1" applyFill="1" applyBorder="1" applyAlignment="1">
      <alignment horizontal="center"/>
    </xf>
    <xf numFmtId="8" fontId="11" fillId="0" borderId="0" xfId="0" applyNumberFormat="1" applyFont="1" applyAlignment="1">
      <alignment horizontal="center" vertical="center"/>
    </xf>
    <xf numFmtId="0" fontId="4" fillId="0" borderId="33" xfId="0" applyFont="1" applyBorder="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9" fontId="13" fillId="0" borderId="5" xfId="0" applyNumberFormat="1" applyFont="1" applyBorder="1" applyAlignment="1">
      <alignment horizontal="center" vertical="center"/>
    </xf>
    <xf numFmtId="8" fontId="9" fillId="0" borderId="0" xfId="0" applyNumberFormat="1" applyFont="1" applyAlignment="1">
      <alignment horizontal="center" vertical="center"/>
    </xf>
    <xf numFmtId="0" fontId="4" fillId="0" borderId="0" xfId="0" applyFont="1" applyAlignment="1">
      <alignment horizontal="left" vertical="center"/>
    </xf>
    <xf numFmtId="9" fontId="4" fillId="0" borderId="5" xfId="0" applyNumberFormat="1" applyFont="1" applyBorder="1" applyAlignment="1">
      <alignment horizontal="center" vertical="center"/>
    </xf>
    <xf numFmtId="0" fontId="22" fillId="0" borderId="36" xfId="0" applyFont="1" applyBorder="1" applyAlignment="1">
      <alignment horizontal="center"/>
    </xf>
    <xf numFmtId="0" fontId="8" fillId="0" borderId="0" xfId="0" applyFont="1" applyAlignment="1">
      <alignment vertical="center"/>
    </xf>
    <xf numFmtId="164" fontId="15" fillId="0" borderId="0" xfId="0" applyNumberFormat="1" applyFont="1" applyAlignment="1">
      <alignment horizontal="center" vertical="center"/>
    </xf>
    <xf numFmtId="164" fontId="4" fillId="0" borderId="5" xfId="0" applyNumberFormat="1" applyFont="1" applyBorder="1" applyAlignment="1">
      <alignment horizontal="left" vertical="center"/>
    </xf>
    <xf numFmtId="0" fontId="22" fillId="0" borderId="9" xfId="0" applyFont="1" applyBorder="1" applyAlignment="1">
      <alignment horizontal="center"/>
    </xf>
    <xf numFmtId="0" fontId="8" fillId="0" borderId="10" xfId="0" applyFont="1" applyBorder="1" applyAlignment="1">
      <alignment vertical="center"/>
    </xf>
    <xf numFmtId="2" fontId="15" fillId="0" borderId="10" xfId="0" applyNumberFormat="1" applyFont="1" applyBorder="1" applyAlignment="1">
      <alignment horizontal="center" vertical="center"/>
    </xf>
    <xf numFmtId="2" fontId="4" fillId="0" borderId="10" xfId="0" applyNumberFormat="1" applyFont="1" applyBorder="1" applyAlignment="1">
      <alignment horizontal="center" vertical="center"/>
    </xf>
    <xf numFmtId="2" fontId="4" fillId="0" borderId="6" xfId="0" applyNumberFormat="1" applyFont="1" applyBorder="1" applyAlignment="1">
      <alignment horizontal="left" vertical="center"/>
    </xf>
    <xf numFmtId="0" fontId="28" fillId="0" borderId="4" xfId="0" applyFont="1" applyBorder="1"/>
    <xf numFmtId="0" fontId="8" fillId="0" borderId="4" xfId="0" applyFont="1" applyBorder="1"/>
    <xf numFmtId="0" fontId="3" fillId="0" borderId="4" xfId="0" applyFont="1" applyBorder="1" applyAlignment="1">
      <alignment horizontal="center"/>
    </xf>
    <xf numFmtId="2" fontId="4" fillId="0" borderId="0" xfId="0" applyNumberFormat="1" applyFont="1" applyAlignment="1">
      <alignment horizontal="center" vertical="center"/>
    </xf>
    <xf numFmtId="2" fontId="4" fillId="0" borderId="0" xfId="0" applyNumberFormat="1" applyFont="1" applyAlignment="1">
      <alignment horizontal="center"/>
    </xf>
    <xf numFmtId="0" fontId="8" fillId="0" borderId="9" xfId="0" applyFont="1" applyBorder="1"/>
    <xf numFmtId="0" fontId="8" fillId="0" borderId="10" xfId="0" applyFont="1" applyBorder="1"/>
    <xf numFmtId="0" fontId="13" fillId="2" borderId="0" xfId="0" applyFont="1" applyFill="1" applyAlignment="1">
      <alignment horizontal="center" vertical="center"/>
    </xf>
    <xf numFmtId="0" fontId="13" fillId="3" borderId="0" xfId="0" applyFont="1" applyFill="1" applyAlignment="1">
      <alignment horizontal="center" vertical="center"/>
    </xf>
    <xf numFmtId="1" fontId="9" fillId="0" borderId="0" xfId="0" applyNumberFormat="1" applyFont="1" applyAlignment="1">
      <alignment horizontal="center"/>
    </xf>
    <xf numFmtId="0" fontId="13" fillId="3" borderId="0" xfId="0" applyFont="1" applyFill="1" applyAlignment="1">
      <alignment horizontal="center"/>
    </xf>
    <xf numFmtId="2" fontId="9" fillId="0" borderId="0" xfId="0" applyNumberFormat="1" applyFont="1" applyAlignment="1">
      <alignment horizontal="center"/>
    </xf>
    <xf numFmtId="0" fontId="6" fillId="0" borderId="0" xfId="0" applyFont="1"/>
    <xf numFmtId="0" fontId="39" fillId="0" borderId="0" xfId="0" applyFont="1" applyAlignment="1">
      <alignment vertical="center" wrapText="1"/>
    </xf>
    <xf numFmtId="0" fontId="40" fillId="0" borderId="0" xfId="0" applyFont="1" applyAlignment="1">
      <alignment vertical="center" wrapText="1"/>
    </xf>
    <xf numFmtId="166" fontId="3" fillId="0" borderId="0" xfId="0" applyNumberFormat="1" applyFont="1" applyAlignment="1">
      <alignment horizontal="center"/>
    </xf>
    <xf numFmtId="0" fontId="28" fillId="8" borderId="0" xfId="0" applyFont="1" applyFill="1" applyAlignment="1">
      <alignment wrapText="1"/>
    </xf>
    <xf numFmtId="0" fontId="41" fillId="8" borderId="0" xfId="0" applyFont="1" applyFill="1" applyAlignment="1">
      <alignment horizontal="left" wrapText="1"/>
    </xf>
    <xf numFmtId="44" fontId="27" fillId="0" borderId="11" xfId="1" applyFont="1" applyFill="1" applyBorder="1" applyAlignment="1" applyProtection="1">
      <alignment horizontal="center" vertical="center"/>
      <protection locked="0"/>
    </xf>
    <xf numFmtId="0" fontId="6" fillId="0" borderId="0" xfId="0" applyFont="1" applyProtection="1">
      <protection locked="0"/>
    </xf>
    <xf numFmtId="166" fontId="3"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0" fontId="3" fillId="0" borderId="0" xfId="0" applyFont="1" applyAlignment="1" applyProtection="1">
      <alignment horizontal="left"/>
      <protection locked="0"/>
    </xf>
    <xf numFmtId="0" fontId="36" fillId="6" borderId="0" xfId="0" applyFont="1" applyFill="1" applyAlignment="1">
      <alignment vertical="center"/>
    </xf>
    <xf numFmtId="0" fontId="43" fillId="6" borderId="0" xfId="0" applyFont="1" applyFill="1" applyAlignment="1">
      <alignment vertical="center"/>
    </xf>
    <xf numFmtId="1" fontId="0" fillId="0" borderId="0" xfId="0" applyNumberFormat="1" applyAlignment="1">
      <alignment horizontal="center"/>
    </xf>
    <xf numFmtId="0" fontId="28" fillId="8" borderId="0" xfId="0" applyFont="1" applyFill="1" applyAlignment="1">
      <alignment horizontal="right"/>
    </xf>
    <xf numFmtId="44" fontId="11" fillId="0" borderId="11" xfId="0" applyNumberFormat="1" applyFont="1" applyBorder="1" applyAlignment="1" applyProtection="1">
      <alignment horizontal="center"/>
      <protection locked="0"/>
    </xf>
    <xf numFmtId="0" fontId="41" fillId="8" borderId="0" xfId="0" applyFont="1" applyFill="1" applyAlignment="1">
      <alignment horizontal="right"/>
    </xf>
    <xf numFmtId="0" fontId="28" fillId="0" borderId="0" xfId="0" applyFont="1" applyAlignment="1">
      <alignment wrapText="1"/>
    </xf>
    <xf numFmtId="0" fontId="28" fillId="8" borderId="0" xfId="0" applyFont="1" applyFill="1" applyAlignment="1">
      <alignment horizontal="center" vertical="top" wrapText="1"/>
    </xf>
    <xf numFmtId="0" fontId="37" fillId="8" borderId="0" xfId="0" applyFont="1" applyFill="1" applyAlignment="1">
      <alignment horizontal="center"/>
    </xf>
    <xf numFmtId="0" fontId="41" fillId="8" borderId="0" xfId="0" applyFont="1" applyFill="1" applyAlignment="1">
      <alignment horizontal="left" vertical="center" wrapText="1"/>
    </xf>
    <xf numFmtId="0" fontId="41" fillId="8" borderId="0" xfId="0" applyFont="1" applyFill="1" applyAlignment="1">
      <alignment horizontal="left" wrapText="1"/>
    </xf>
    <xf numFmtId="0" fontId="42" fillId="8" borderId="0" xfId="3" applyFont="1" applyFill="1" applyAlignment="1">
      <alignment horizontal="left" wrapText="1"/>
    </xf>
    <xf numFmtId="0" fontId="0" fillId="8" borderId="0" xfId="0" applyFill="1" applyAlignment="1">
      <alignment horizontal="left" wrapText="1"/>
    </xf>
    <xf numFmtId="0" fontId="0" fillId="8" borderId="0" xfId="0" applyFill="1" applyAlignment="1">
      <alignment horizontal="left" vertical="center" wrapText="1"/>
    </xf>
    <xf numFmtId="0" fontId="12" fillId="6" borderId="0" xfId="0" applyFont="1" applyFill="1" applyAlignment="1">
      <alignment horizontal="center" vertical="center"/>
    </xf>
    <xf numFmtId="0" fontId="36" fillId="6" borderId="0" xfId="0" applyFont="1" applyFill="1" applyAlignment="1">
      <alignment horizontal="center" vertical="center"/>
    </xf>
    <xf numFmtId="0" fontId="12" fillId="6" borderId="1" xfId="0" applyFont="1" applyFill="1" applyBorder="1" applyAlignment="1">
      <alignment horizontal="right" vertical="center" indent="1"/>
    </xf>
    <xf numFmtId="0" fontId="12" fillId="6" borderId="2" xfId="0" applyFont="1" applyFill="1" applyBorder="1" applyAlignment="1">
      <alignment horizontal="right" vertical="center" indent="1"/>
    </xf>
    <xf numFmtId="0" fontId="12" fillId="6" borderId="3"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0" xfId="0" applyFont="1" applyFill="1" applyAlignment="1">
      <alignment horizontal="right" vertical="center" indent="1"/>
    </xf>
    <xf numFmtId="0" fontId="12" fillId="6" borderId="5" xfId="0" applyFont="1" applyFill="1" applyBorder="1" applyAlignment="1">
      <alignment horizontal="right" vertical="center" indent="1"/>
    </xf>
    <xf numFmtId="0" fontId="12" fillId="6" borderId="9" xfId="0" applyFont="1" applyFill="1" applyBorder="1" applyAlignment="1">
      <alignment horizontal="right" vertical="center" indent="1"/>
    </xf>
    <xf numFmtId="0" fontId="12" fillId="6" borderId="10" xfId="0" applyFont="1" applyFill="1" applyBorder="1" applyAlignment="1">
      <alignment horizontal="right" vertical="center" indent="1"/>
    </xf>
    <xf numFmtId="0" fontId="12" fillId="6" borderId="6" xfId="0" applyFont="1" applyFill="1" applyBorder="1" applyAlignment="1">
      <alignment horizontal="right" vertical="center" indent="1"/>
    </xf>
    <xf numFmtId="164" fontId="8" fillId="0" borderId="27" xfId="0" applyNumberFormat="1" applyFont="1" applyBorder="1" applyAlignment="1">
      <alignment horizontal="left" vertical="center"/>
    </xf>
    <xf numFmtId="164" fontId="8" fillId="0" borderId="26" xfId="0" applyNumberFormat="1" applyFont="1" applyBorder="1" applyAlignment="1">
      <alignment horizontal="left" vertical="center"/>
    </xf>
    <xf numFmtId="164" fontId="8" fillId="0" borderId="12"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5" fillId="4" borderId="19" xfId="0" applyFont="1" applyFill="1" applyBorder="1" applyAlignment="1">
      <alignment horizontal="center" vertical="center"/>
    </xf>
    <xf numFmtId="0" fontId="5" fillId="4" borderId="15" xfId="0" applyFont="1" applyFill="1" applyBorder="1" applyAlignment="1">
      <alignment horizontal="center" vertical="center"/>
    </xf>
    <xf numFmtId="0" fontId="28" fillId="0" borderId="0" xfId="0" applyFont="1" applyAlignment="1">
      <alignment horizontal="left" wrapText="1"/>
    </xf>
    <xf numFmtId="0" fontId="8" fillId="0" borderId="0" xfId="0" applyFont="1" applyAlignment="1">
      <alignment horizontal="left" wrapText="1"/>
    </xf>
    <xf numFmtId="0" fontId="4" fillId="4" borderId="39" xfId="0" applyFont="1" applyFill="1" applyBorder="1" applyAlignment="1">
      <alignment horizontal="center"/>
    </xf>
    <xf numFmtId="0" fontId="4" fillId="4" borderId="35" xfId="0" applyFont="1" applyFill="1" applyBorder="1" applyAlignment="1">
      <alignment horizontal="center"/>
    </xf>
    <xf numFmtId="0" fontId="4" fillId="4" borderId="20" xfId="0" applyFont="1" applyFill="1" applyBorder="1" applyAlignment="1">
      <alignment horizontal="center"/>
    </xf>
    <xf numFmtId="44" fontId="9" fillId="0" borderId="2" xfId="0" applyNumberFormat="1" applyFont="1" applyBorder="1" applyAlignment="1">
      <alignment horizontal="center"/>
    </xf>
    <xf numFmtId="44" fontId="9" fillId="0" borderId="3" xfId="0" applyNumberFormat="1" applyFont="1" applyBorder="1" applyAlignment="1">
      <alignment horizontal="center"/>
    </xf>
    <xf numFmtId="0" fontId="39" fillId="0" borderId="0" xfId="0" applyFont="1" applyAlignment="1">
      <alignment horizontal="left" vertical="center" wrapText="1"/>
    </xf>
    <xf numFmtId="0" fontId="24" fillId="0" borderId="0" xfId="0" applyFont="1" applyAlignment="1">
      <alignment horizontal="center"/>
    </xf>
    <xf numFmtId="0" fontId="4" fillId="4" borderId="3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20" xfId="0" applyFont="1" applyFill="1" applyBorder="1" applyAlignment="1">
      <alignment horizontal="center" vertical="center"/>
    </xf>
    <xf numFmtId="0" fontId="6" fillId="0" borderId="0" xfId="0" applyFont="1" applyAlignment="1" applyProtection="1">
      <alignment horizontal="center"/>
      <protection locked="0"/>
    </xf>
    <xf numFmtId="0" fontId="3" fillId="0" borderId="0" xfId="0" applyFont="1" applyAlignment="1" applyProtection="1">
      <alignment horizontal="center"/>
      <protection locked="0"/>
    </xf>
    <xf numFmtId="0" fontId="8" fillId="4" borderId="39" xfId="0" applyFont="1" applyFill="1" applyBorder="1" applyAlignment="1">
      <alignment horizontal="center"/>
    </xf>
    <xf numFmtId="0" fontId="8" fillId="4" borderId="35" xfId="0" applyFont="1" applyFill="1" applyBorder="1" applyAlignment="1">
      <alignment horizontal="center"/>
    </xf>
    <xf numFmtId="0" fontId="8" fillId="4" borderId="20" xfId="0" applyFont="1" applyFill="1" applyBorder="1" applyAlignment="1">
      <alignment horizontal="center"/>
    </xf>
    <xf numFmtId="0" fontId="13" fillId="2" borderId="0" xfId="0" applyFont="1" applyFill="1" applyAlignment="1">
      <alignment horizontal="center"/>
    </xf>
    <xf numFmtId="0" fontId="14" fillId="2" borderId="0" xfId="0" applyFont="1" applyFill="1" applyAlignment="1">
      <alignment horizontal="center"/>
    </xf>
  </cellXfs>
  <cellStyles count="5">
    <cellStyle name="Comma" xfId="4" builtinId="3"/>
    <cellStyle name="Currency" xfId="1" builtinId="4"/>
    <cellStyle name="Hyperlink" xfId="3" builtinId="8"/>
    <cellStyle name="Normal" xfId="0" builtinId="0"/>
    <cellStyle name="Percent" xfId="2" builtinId="5"/>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18453B"/>
      <color rgb="FFF2C400"/>
      <color rgb="FF0DB14B"/>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0</xdr:row>
      <xdr:rowOff>59531</xdr:rowOff>
    </xdr:from>
    <xdr:to>
      <xdr:col>1</xdr:col>
      <xdr:colOff>1524000</xdr:colOff>
      <xdr:row>2</xdr:row>
      <xdr:rowOff>41444</xdr:rowOff>
    </xdr:to>
    <xdr:pic>
      <xdr:nvPicPr>
        <xdr:cNvPr id="4" name="Picture 3">
          <a:extLst>
            <a:ext uri="{FF2B5EF4-FFF2-40B4-BE49-F238E27FC236}">
              <a16:creationId xmlns:a16="http://schemas.microsoft.com/office/drawing/2014/main" id="{4CC76A45-5D22-4012-9380-33F98D2BE0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 y="59531"/>
          <a:ext cx="1828801" cy="353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81D6814C-E410-4E1E-B5DD-D69F94082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D79199B0-0766-4957-A11B-5DBB7293F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B7C9F541-9DDE-41E7-86C5-D4DF4EB1C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4246BAD9-1162-4AC6-AE1D-E47A40A0A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82A85B7F-2DCA-41FC-ACF5-05B49EC42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20</xdr:col>
      <xdr:colOff>272415</xdr:colOff>
      <xdr:row>36</xdr:row>
      <xdr:rowOff>157757</xdr:rowOff>
    </xdr:to>
    <xdr:pic>
      <xdr:nvPicPr>
        <xdr:cNvPr id="2" name="Picture 1">
          <a:extLst>
            <a:ext uri="{FF2B5EF4-FFF2-40B4-BE49-F238E27FC236}">
              <a16:creationId xmlns:a16="http://schemas.microsoft.com/office/drawing/2014/main" id="{AD6E7C8B-D022-B68C-90C6-4796E5D91DBB}"/>
            </a:ext>
          </a:extLst>
        </xdr:cNvPr>
        <xdr:cNvPicPr>
          <a:picLocks noChangeAspect="1"/>
        </xdr:cNvPicPr>
      </xdr:nvPicPr>
      <xdr:blipFill>
        <a:blip xmlns:r="http://schemas.openxmlformats.org/officeDocument/2006/relationships" r:embed="rId1"/>
        <a:stretch>
          <a:fillRect/>
        </a:stretch>
      </xdr:blipFill>
      <xdr:spPr>
        <a:xfrm>
          <a:off x="28575" y="9525"/>
          <a:ext cx="12435840" cy="70062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msuent.com/assets/pdf/1582CornInsects10.pdf" TargetMode="External"/><Relationship Id="rId1" Type="http://schemas.openxmlformats.org/officeDocument/2006/relationships/hyperlink" Target="http://msuent.com/assets/pdf/1582SoybeanInsects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F8A9-DF5A-48F5-92EB-7A317007D4B0}">
  <sheetPr>
    <tabColor theme="1"/>
  </sheetPr>
  <dimension ref="A1:AN97"/>
  <sheetViews>
    <sheetView tabSelected="1" zoomScaleNormal="100" workbookViewId="0">
      <selection activeCell="AB1" sqref="AB1"/>
    </sheetView>
  </sheetViews>
  <sheetFormatPr defaultRowHeight="15" x14ac:dyDescent="0.25"/>
  <cols>
    <col min="1" max="1" width="5.7109375" customWidth="1"/>
    <col min="2" max="2" width="29.140625" bestFit="1" customWidth="1"/>
    <col min="3" max="3" width="3.140625" customWidth="1"/>
    <col min="4" max="4" width="12" customWidth="1"/>
    <col min="5" max="5" width="9.140625" customWidth="1"/>
    <col min="12" max="40" width="9.140625" style="77"/>
  </cols>
  <sheetData>
    <row r="1" spans="1:11" ht="15" customHeight="1" x14ac:dyDescent="0.25">
      <c r="A1" s="78"/>
      <c r="B1" s="78"/>
      <c r="C1" s="246" t="s">
        <v>548</v>
      </c>
      <c r="D1" s="246"/>
      <c r="E1" s="246"/>
      <c r="F1" s="246"/>
      <c r="G1" s="246"/>
      <c r="H1" s="246"/>
      <c r="I1" s="246"/>
      <c r="J1" s="246"/>
      <c r="K1" s="246"/>
    </row>
    <row r="2" spans="1:11" ht="14.25" customHeight="1" x14ac:dyDescent="0.25">
      <c r="A2" s="78"/>
      <c r="B2" s="78"/>
      <c r="C2" s="246"/>
      <c r="D2" s="246"/>
      <c r="E2" s="246"/>
      <c r="F2" s="246"/>
      <c r="G2" s="246"/>
      <c r="H2" s="246"/>
      <c r="I2" s="246"/>
      <c r="J2" s="246"/>
      <c r="K2" s="246"/>
    </row>
    <row r="3" spans="1:11" ht="23.25" customHeight="1" x14ac:dyDescent="0.25">
      <c r="A3" s="233"/>
      <c r="B3" s="233"/>
      <c r="C3" s="246"/>
      <c r="D3" s="246"/>
      <c r="E3" s="246"/>
      <c r="F3" s="246"/>
      <c r="G3" s="246"/>
      <c r="H3" s="246"/>
      <c r="I3" s="246"/>
      <c r="J3" s="246"/>
      <c r="K3" s="246"/>
    </row>
    <row r="4" spans="1:11" ht="15.75" x14ac:dyDescent="0.25">
      <c r="A4" s="232"/>
      <c r="B4" s="232"/>
      <c r="C4" s="247" t="s">
        <v>538</v>
      </c>
      <c r="D4" s="247"/>
      <c r="E4" s="247"/>
      <c r="F4" s="247"/>
      <c r="G4" s="247"/>
      <c r="H4" s="247"/>
      <c r="I4" s="247"/>
      <c r="J4" s="247"/>
      <c r="K4" s="247"/>
    </row>
    <row r="5" spans="1:11" ht="15" customHeight="1" x14ac:dyDescent="0.25">
      <c r="A5" s="78"/>
      <c r="B5" s="232"/>
      <c r="C5" s="247" t="s">
        <v>539</v>
      </c>
      <c r="D5" s="247"/>
      <c r="E5" s="247"/>
      <c r="F5" s="247"/>
      <c r="G5" s="247"/>
      <c r="H5" s="247"/>
      <c r="I5" s="247"/>
      <c r="J5" s="247"/>
      <c r="K5" s="247"/>
    </row>
    <row r="6" spans="1:11" ht="15" customHeight="1" x14ac:dyDescent="0.25">
      <c r="A6" s="78"/>
      <c r="B6" s="232"/>
      <c r="C6" s="247" t="s">
        <v>502</v>
      </c>
      <c r="D6" s="247"/>
      <c r="E6" s="247"/>
      <c r="F6" s="247"/>
      <c r="G6" s="247"/>
      <c r="H6" s="247"/>
      <c r="I6" s="247"/>
      <c r="J6" s="247"/>
      <c r="K6" s="247"/>
    </row>
    <row r="7" spans="1:11" ht="15" customHeight="1" x14ac:dyDescent="0.25">
      <c r="A7" s="78"/>
      <c r="B7" s="232"/>
      <c r="C7" s="247" t="s">
        <v>542</v>
      </c>
      <c r="D7" s="247"/>
      <c r="E7" s="247"/>
      <c r="F7" s="247"/>
      <c r="G7" s="247"/>
      <c r="H7" s="247"/>
      <c r="I7" s="247"/>
      <c r="J7" s="247"/>
      <c r="K7" s="247"/>
    </row>
    <row r="8" spans="1:11" ht="15" customHeight="1" x14ac:dyDescent="0.25">
      <c r="A8" s="75"/>
      <c r="B8" s="75"/>
      <c r="C8" s="75"/>
      <c r="D8" s="75"/>
      <c r="E8" s="75"/>
      <c r="F8" s="75"/>
      <c r="G8" s="75"/>
      <c r="H8" s="75"/>
      <c r="I8" s="75"/>
      <c r="J8" s="75"/>
      <c r="K8" s="75"/>
    </row>
    <row r="9" spans="1:11" x14ac:dyDescent="0.25">
      <c r="A9" s="77"/>
      <c r="B9" s="77"/>
      <c r="C9" s="77"/>
      <c r="D9" s="77"/>
      <c r="E9" s="77"/>
      <c r="F9" s="77"/>
      <c r="G9" s="77"/>
      <c r="H9" s="77"/>
      <c r="I9" s="77"/>
      <c r="J9" s="77"/>
      <c r="K9" s="77"/>
    </row>
    <row r="10" spans="1:11" x14ac:dyDescent="0.25">
      <c r="A10" s="79" t="s">
        <v>503</v>
      </c>
      <c r="B10" s="77" t="s">
        <v>610</v>
      </c>
      <c r="C10" s="77"/>
      <c r="D10" s="77"/>
      <c r="E10" s="77"/>
      <c r="F10" s="77"/>
      <c r="G10" s="77"/>
      <c r="H10" s="77"/>
      <c r="I10" s="77"/>
      <c r="J10" s="77"/>
      <c r="K10" s="77"/>
    </row>
    <row r="11" spans="1:11" x14ac:dyDescent="0.25">
      <c r="A11" s="77"/>
      <c r="B11" s="80" t="s">
        <v>604</v>
      </c>
      <c r="C11" s="81" t="s">
        <v>504</v>
      </c>
      <c r="D11" s="244" t="s">
        <v>617</v>
      </c>
      <c r="E11" s="244"/>
      <c r="F11" s="244"/>
      <c r="G11" s="244"/>
      <c r="H11" s="244"/>
      <c r="I11" s="244"/>
      <c r="J11" s="244"/>
      <c r="K11" s="244"/>
    </row>
    <row r="12" spans="1:11" ht="15" customHeight="1" x14ac:dyDescent="0.25">
      <c r="A12" s="77"/>
      <c r="B12" s="76"/>
      <c r="C12" s="77"/>
      <c r="D12" s="244"/>
      <c r="E12" s="244"/>
      <c r="F12" s="244"/>
      <c r="G12" s="244"/>
      <c r="H12" s="244"/>
      <c r="I12" s="244"/>
      <c r="J12" s="244"/>
      <c r="K12" s="244"/>
    </row>
    <row r="13" spans="1:11" x14ac:dyDescent="0.25">
      <c r="A13" s="77"/>
      <c r="B13" s="77"/>
      <c r="C13" s="77"/>
      <c r="D13" s="244"/>
      <c r="E13" s="244"/>
      <c r="F13" s="244"/>
      <c r="G13" s="244"/>
      <c r="H13" s="244"/>
      <c r="I13" s="244"/>
      <c r="J13" s="244"/>
      <c r="K13" s="244"/>
    </row>
    <row r="14" spans="1:11" x14ac:dyDescent="0.25">
      <c r="A14" s="77"/>
      <c r="B14" s="77"/>
      <c r="C14" s="77"/>
      <c r="D14" s="82"/>
      <c r="E14" s="82"/>
      <c r="F14" s="82"/>
      <c r="G14" s="82"/>
      <c r="H14" s="82"/>
      <c r="I14" s="82"/>
      <c r="J14" s="82"/>
      <c r="K14" s="77"/>
    </row>
    <row r="15" spans="1:11" x14ac:dyDescent="0.25">
      <c r="A15" s="77"/>
      <c r="B15" s="80" t="s">
        <v>605</v>
      </c>
      <c r="C15" s="81" t="s">
        <v>504</v>
      </c>
      <c r="D15" s="244" t="s">
        <v>613</v>
      </c>
      <c r="E15" s="244"/>
      <c r="F15" s="244"/>
      <c r="G15" s="244"/>
      <c r="H15" s="244"/>
      <c r="I15" s="244"/>
      <c r="J15" s="244"/>
      <c r="K15" s="77"/>
    </row>
    <row r="16" spans="1:11" ht="15" customHeight="1" x14ac:dyDescent="0.25">
      <c r="A16" s="77"/>
      <c r="B16" s="84"/>
      <c r="C16" s="77"/>
      <c r="D16" s="244"/>
      <c r="E16" s="244"/>
      <c r="F16" s="244"/>
      <c r="G16" s="244"/>
      <c r="H16" s="244"/>
      <c r="I16" s="244"/>
      <c r="J16" s="244"/>
      <c r="K16" s="77"/>
    </row>
    <row r="17" spans="1:11" x14ac:dyDescent="0.25">
      <c r="A17" s="77"/>
      <c r="B17" s="77"/>
      <c r="C17" s="77"/>
      <c r="D17" s="244"/>
      <c r="E17" s="244"/>
      <c r="F17" s="244"/>
      <c r="G17" s="244"/>
      <c r="H17" s="244"/>
      <c r="I17" s="244"/>
      <c r="J17" s="244"/>
      <c r="K17" s="77"/>
    </row>
    <row r="18" spans="1:11" x14ac:dyDescent="0.25">
      <c r="A18" s="77"/>
      <c r="B18" s="77"/>
      <c r="C18" s="77"/>
      <c r="D18" s="82"/>
      <c r="E18" s="82"/>
      <c r="F18" s="82"/>
      <c r="G18" s="82"/>
      <c r="H18" s="82"/>
      <c r="I18" s="82"/>
      <c r="J18" s="82"/>
      <c r="K18" s="77"/>
    </row>
    <row r="19" spans="1:11" ht="15" customHeight="1" x14ac:dyDescent="0.25">
      <c r="A19" s="77"/>
      <c r="B19" s="80" t="s">
        <v>606</v>
      </c>
      <c r="C19" s="81" t="s">
        <v>504</v>
      </c>
      <c r="D19" s="244" t="s">
        <v>621</v>
      </c>
      <c r="E19" s="244"/>
      <c r="F19" s="244"/>
      <c r="G19" s="244"/>
      <c r="H19" s="244"/>
      <c r="I19" s="244"/>
      <c r="J19" s="244"/>
      <c r="K19" s="244"/>
    </row>
    <row r="20" spans="1:11" x14ac:dyDescent="0.25">
      <c r="A20" s="77"/>
      <c r="B20" s="85"/>
      <c r="C20" s="77"/>
      <c r="D20" s="244"/>
      <c r="E20" s="244"/>
      <c r="F20" s="244"/>
      <c r="G20" s="244"/>
      <c r="H20" s="244"/>
      <c r="I20" s="244"/>
      <c r="J20" s="244"/>
      <c r="K20" s="244"/>
    </row>
    <row r="21" spans="1:11" x14ac:dyDescent="0.25">
      <c r="A21" s="77"/>
      <c r="B21" s="77"/>
      <c r="C21" s="77"/>
      <c r="D21" s="244"/>
      <c r="E21" s="244"/>
      <c r="F21" s="244"/>
      <c r="G21" s="244"/>
      <c r="H21" s="244"/>
      <c r="I21" s="244"/>
      <c r="J21" s="244"/>
      <c r="K21" s="244"/>
    </row>
    <row r="22" spans="1:11" x14ac:dyDescent="0.25">
      <c r="A22" s="77"/>
      <c r="B22" s="77"/>
      <c r="C22" s="77"/>
      <c r="D22" s="82"/>
      <c r="E22" s="82"/>
      <c r="F22" s="82"/>
      <c r="G22" s="82"/>
      <c r="H22" s="82"/>
      <c r="I22" s="82"/>
      <c r="J22" s="82"/>
      <c r="K22" s="82"/>
    </row>
    <row r="23" spans="1:11" x14ac:dyDescent="0.25">
      <c r="A23" s="79" t="s">
        <v>505</v>
      </c>
      <c r="B23" s="77" t="s">
        <v>611</v>
      </c>
      <c r="C23" s="77"/>
      <c r="D23" s="77"/>
      <c r="E23" s="77"/>
      <c r="F23" s="77"/>
      <c r="G23" s="77"/>
      <c r="H23" s="77"/>
      <c r="I23" s="77"/>
      <c r="J23" s="77"/>
      <c r="K23" s="77"/>
    </row>
    <row r="24" spans="1:11" x14ac:dyDescent="0.25">
      <c r="A24" s="77"/>
      <c r="B24" s="80" t="s">
        <v>607</v>
      </c>
      <c r="C24" s="81" t="s">
        <v>504</v>
      </c>
      <c r="D24" s="244" t="s">
        <v>615</v>
      </c>
      <c r="E24" s="244"/>
      <c r="F24" s="244"/>
      <c r="G24" s="244"/>
      <c r="H24" s="244"/>
      <c r="I24" s="244"/>
      <c r="J24" s="244"/>
      <c r="K24" s="244"/>
    </row>
    <row r="25" spans="1:11" x14ac:dyDescent="0.25">
      <c r="A25" s="77"/>
      <c r="B25" s="76"/>
      <c r="C25" s="77"/>
      <c r="D25" s="244"/>
      <c r="E25" s="244"/>
      <c r="F25" s="244"/>
      <c r="G25" s="244"/>
      <c r="H25" s="244"/>
      <c r="I25" s="244"/>
      <c r="J25" s="244"/>
      <c r="K25" s="244"/>
    </row>
    <row r="26" spans="1:11" x14ac:dyDescent="0.25">
      <c r="A26" s="77"/>
      <c r="B26" s="77"/>
      <c r="C26" s="77"/>
      <c r="D26" s="244"/>
      <c r="E26" s="244"/>
      <c r="F26" s="244"/>
      <c r="G26" s="244"/>
      <c r="H26" s="244"/>
      <c r="I26" s="244"/>
      <c r="J26" s="244"/>
      <c r="K26" s="244"/>
    </row>
    <row r="27" spans="1:11" x14ac:dyDescent="0.25">
      <c r="A27" s="77"/>
      <c r="B27" s="77"/>
      <c r="C27" s="77"/>
      <c r="D27" s="82"/>
      <c r="E27" s="82"/>
      <c r="F27" s="82"/>
      <c r="G27" s="82"/>
      <c r="H27" s="82"/>
      <c r="I27" s="82"/>
      <c r="J27" s="82"/>
      <c r="K27" s="77"/>
    </row>
    <row r="28" spans="1:11" x14ac:dyDescent="0.25">
      <c r="A28" s="77"/>
      <c r="B28" s="80" t="s">
        <v>608</v>
      </c>
      <c r="C28" s="81" t="s">
        <v>504</v>
      </c>
      <c r="D28" s="244" t="s">
        <v>603</v>
      </c>
      <c r="E28" s="244"/>
      <c r="F28" s="244"/>
      <c r="G28" s="244"/>
      <c r="H28" s="244"/>
      <c r="I28" s="244"/>
      <c r="J28" s="244"/>
      <c r="K28" s="77"/>
    </row>
    <row r="29" spans="1:11" x14ac:dyDescent="0.25">
      <c r="A29" s="77"/>
      <c r="B29" s="84"/>
      <c r="C29" s="77"/>
      <c r="D29" s="244"/>
      <c r="E29" s="244"/>
      <c r="F29" s="244"/>
      <c r="G29" s="244"/>
      <c r="H29" s="244"/>
      <c r="I29" s="244"/>
      <c r="J29" s="244"/>
      <c r="K29" s="77"/>
    </row>
    <row r="30" spans="1:11" x14ac:dyDescent="0.25">
      <c r="A30" s="77"/>
      <c r="B30" s="77"/>
      <c r="C30" s="77"/>
      <c r="D30" s="244"/>
      <c r="E30" s="244"/>
      <c r="F30" s="244"/>
      <c r="G30" s="244"/>
      <c r="H30" s="244"/>
      <c r="I30" s="244"/>
      <c r="J30" s="244"/>
      <c r="K30" s="77"/>
    </row>
    <row r="31" spans="1:11" x14ac:dyDescent="0.25">
      <c r="A31" s="77"/>
      <c r="B31" s="77"/>
      <c r="C31" s="77"/>
      <c r="D31" s="82"/>
      <c r="E31" s="82"/>
      <c r="F31" s="82"/>
      <c r="G31" s="82"/>
      <c r="H31" s="82"/>
      <c r="I31" s="82"/>
      <c r="J31" s="82"/>
      <c r="K31" s="77"/>
    </row>
    <row r="32" spans="1:11" x14ac:dyDescent="0.25">
      <c r="A32" s="77"/>
      <c r="B32" s="80" t="s">
        <v>609</v>
      </c>
      <c r="C32" s="81" t="s">
        <v>504</v>
      </c>
      <c r="D32" s="244" t="s">
        <v>616</v>
      </c>
      <c r="E32" s="244"/>
      <c r="F32" s="244"/>
      <c r="G32" s="244"/>
      <c r="H32" s="244"/>
      <c r="I32" s="244"/>
      <c r="J32" s="244"/>
      <c r="K32" s="244"/>
    </row>
    <row r="33" spans="1:11" x14ac:dyDescent="0.25">
      <c r="A33" s="77"/>
      <c r="B33" s="85"/>
      <c r="C33" s="77"/>
      <c r="D33" s="244"/>
      <c r="E33" s="244"/>
      <c r="F33" s="244"/>
      <c r="G33" s="244"/>
      <c r="H33" s="244"/>
      <c r="I33" s="244"/>
      <c r="J33" s="244"/>
      <c r="K33" s="244"/>
    </row>
    <row r="34" spans="1:11" x14ac:dyDescent="0.25">
      <c r="A34" s="77"/>
      <c r="B34" s="77"/>
      <c r="C34" s="77"/>
      <c r="D34" s="244"/>
      <c r="E34" s="244"/>
      <c r="F34" s="244"/>
      <c r="G34" s="244"/>
      <c r="H34" s="244"/>
      <c r="I34" s="244"/>
      <c r="J34" s="244"/>
      <c r="K34" s="244"/>
    </row>
    <row r="35" spans="1:11" x14ac:dyDescent="0.25">
      <c r="A35" s="77"/>
      <c r="B35" s="77"/>
      <c r="C35" s="77"/>
      <c r="D35" s="226"/>
      <c r="E35" s="226"/>
      <c r="F35" s="226"/>
      <c r="G35" s="226"/>
      <c r="H35" s="226"/>
      <c r="I35" s="226"/>
      <c r="J35" s="226"/>
      <c r="K35" s="226"/>
    </row>
    <row r="36" spans="1:11" x14ac:dyDescent="0.25">
      <c r="A36" s="77"/>
      <c r="B36" s="237" t="s">
        <v>614</v>
      </c>
      <c r="C36" s="77"/>
      <c r="D36" s="241" t="s">
        <v>618</v>
      </c>
      <c r="E36" s="241"/>
      <c r="F36" s="241"/>
      <c r="G36" s="241"/>
      <c r="H36" s="241"/>
      <c r="I36" s="241"/>
      <c r="J36" s="241"/>
      <c r="K36" s="241"/>
    </row>
    <row r="37" spans="1:11" x14ac:dyDescent="0.25">
      <c r="A37" s="77"/>
      <c r="B37" s="77"/>
      <c r="C37" s="77"/>
      <c r="D37" s="241"/>
      <c r="E37" s="241"/>
      <c r="F37" s="241"/>
      <c r="G37" s="241"/>
      <c r="H37" s="241"/>
      <c r="I37" s="241"/>
      <c r="J37" s="241"/>
      <c r="K37" s="241"/>
    </row>
    <row r="38" spans="1:11" ht="15" customHeight="1" x14ac:dyDescent="0.25">
      <c r="A38" s="77"/>
      <c r="B38" s="77"/>
      <c r="C38" s="77"/>
      <c r="D38" s="241" t="s">
        <v>622</v>
      </c>
      <c r="E38" s="241"/>
      <c r="F38" s="241"/>
      <c r="G38" s="241"/>
      <c r="H38" s="241"/>
      <c r="I38" s="241"/>
      <c r="J38" s="241"/>
      <c r="K38" s="241"/>
    </row>
    <row r="39" spans="1:11" x14ac:dyDescent="0.25">
      <c r="A39" s="77"/>
      <c r="B39" s="77"/>
      <c r="C39" s="77"/>
      <c r="D39" s="241"/>
      <c r="E39" s="241"/>
      <c r="F39" s="241"/>
      <c r="G39" s="241"/>
      <c r="H39" s="241"/>
      <c r="I39" s="241"/>
      <c r="J39" s="241"/>
      <c r="K39" s="241"/>
    </row>
    <row r="40" spans="1:11" x14ac:dyDescent="0.25">
      <c r="A40" s="77"/>
      <c r="B40" s="77"/>
      <c r="C40" s="77"/>
      <c r="D40" s="241"/>
      <c r="E40" s="241"/>
      <c r="F40" s="241"/>
      <c r="G40" s="241"/>
      <c r="H40" s="241"/>
      <c r="I40" s="241"/>
      <c r="J40" s="241"/>
      <c r="K40" s="241"/>
    </row>
    <row r="41" spans="1:11" x14ac:dyDescent="0.25">
      <c r="A41" s="77"/>
      <c r="B41" s="237"/>
      <c r="C41" s="77"/>
      <c r="D41" s="241"/>
      <c r="E41" s="241"/>
      <c r="F41" s="241"/>
      <c r="G41" s="241"/>
      <c r="H41" s="241"/>
      <c r="I41" s="241"/>
      <c r="J41" s="241"/>
      <c r="K41" s="241"/>
    </row>
    <row r="42" spans="1:11" ht="15" customHeight="1" x14ac:dyDescent="0.25">
      <c r="A42" s="77"/>
      <c r="B42" s="77"/>
      <c r="C42" s="77"/>
      <c r="D42" s="241" t="s">
        <v>624</v>
      </c>
      <c r="E42" s="241"/>
      <c r="F42" s="241"/>
      <c r="G42" s="241"/>
      <c r="H42" s="241"/>
      <c r="I42" s="241"/>
      <c r="J42" s="241"/>
      <c r="K42" s="241"/>
    </row>
    <row r="43" spans="1:11" x14ac:dyDescent="0.25">
      <c r="A43" s="77"/>
      <c r="B43" s="77"/>
      <c r="C43" s="77"/>
      <c r="D43" s="241"/>
      <c r="E43" s="241"/>
      <c r="F43" s="241"/>
      <c r="G43" s="241"/>
      <c r="H43" s="241"/>
      <c r="I43" s="241"/>
      <c r="J43" s="241"/>
      <c r="K43" s="241"/>
    </row>
    <row r="44" spans="1:11" x14ac:dyDescent="0.25">
      <c r="A44" s="77"/>
      <c r="B44" s="77"/>
      <c r="C44" s="77"/>
      <c r="D44" s="241"/>
      <c r="E44" s="241"/>
      <c r="F44" s="241"/>
      <c r="G44" s="241"/>
      <c r="H44" s="241"/>
      <c r="I44" s="241"/>
      <c r="J44" s="241"/>
      <c r="K44" s="241"/>
    </row>
    <row r="45" spans="1:11" x14ac:dyDescent="0.25">
      <c r="A45" s="77"/>
      <c r="B45" s="77"/>
      <c r="C45" s="77"/>
      <c r="D45" s="226"/>
      <c r="E45" s="226"/>
      <c r="F45" s="226"/>
      <c r="G45" s="226"/>
      <c r="H45" s="226"/>
      <c r="I45" s="226"/>
      <c r="J45" s="226"/>
      <c r="K45" s="226"/>
    </row>
    <row r="46" spans="1:11" ht="15" customHeight="1" x14ac:dyDescent="0.25">
      <c r="A46" s="77"/>
      <c r="B46" s="235" t="s">
        <v>546</v>
      </c>
      <c r="C46" s="83"/>
      <c r="D46" s="243" t="s">
        <v>547</v>
      </c>
      <c r="E46" s="243"/>
      <c r="F46" s="243"/>
      <c r="G46" s="243"/>
      <c r="H46" s="243"/>
      <c r="I46" s="243"/>
      <c r="J46" s="243"/>
      <c r="K46" s="243"/>
    </row>
    <row r="47" spans="1:11" x14ac:dyDescent="0.25">
      <c r="A47" s="77"/>
      <c r="B47" s="77"/>
      <c r="C47" s="77"/>
      <c r="D47" s="77"/>
      <c r="E47" s="77"/>
      <c r="F47" s="77"/>
      <c r="G47" s="77"/>
      <c r="H47" s="77"/>
      <c r="I47" s="77"/>
      <c r="J47" s="77"/>
      <c r="K47" s="77"/>
    </row>
    <row r="48" spans="1:11" x14ac:dyDescent="0.25">
      <c r="A48" s="79" t="s">
        <v>506</v>
      </c>
      <c r="B48" s="77" t="s">
        <v>540</v>
      </c>
      <c r="C48" s="77"/>
      <c r="D48" s="77"/>
      <c r="E48" s="77"/>
      <c r="F48" s="77"/>
      <c r="G48" s="77"/>
      <c r="H48" s="77"/>
      <c r="I48" s="77"/>
      <c r="J48" s="77"/>
      <c r="K48" s="77"/>
    </row>
    <row r="49" spans="1:11" x14ac:dyDescent="0.25">
      <c r="A49" s="77"/>
      <c r="B49" s="77" t="s">
        <v>541</v>
      </c>
      <c r="C49" s="77"/>
      <c r="D49" s="77"/>
      <c r="E49" s="77"/>
      <c r="F49" s="77"/>
      <c r="G49" s="77"/>
      <c r="H49" s="77"/>
      <c r="I49" s="77"/>
      <c r="J49" s="77"/>
      <c r="K49" s="77"/>
    </row>
    <row r="50" spans="1:11" x14ac:dyDescent="0.25">
      <c r="A50" s="77"/>
      <c r="B50" s="77"/>
      <c r="C50" s="77"/>
      <c r="D50" s="77"/>
      <c r="E50" s="77"/>
      <c r="F50" s="77"/>
      <c r="G50" s="77"/>
      <c r="H50" s="77"/>
      <c r="I50" s="77"/>
      <c r="J50" s="77"/>
      <c r="K50" s="77"/>
    </row>
    <row r="51" spans="1:11" x14ac:dyDescent="0.25">
      <c r="A51" s="79" t="s">
        <v>612</v>
      </c>
      <c r="B51" s="77" t="s">
        <v>508</v>
      </c>
      <c r="C51" s="77"/>
      <c r="D51" s="77"/>
      <c r="E51" s="77"/>
      <c r="F51" s="77"/>
      <c r="G51" s="77"/>
      <c r="H51" s="77"/>
      <c r="I51" s="77"/>
      <c r="J51" s="77"/>
      <c r="K51" s="77"/>
    </row>
    <row r="52" spans="1:11" x14ac:dyDescent="0.25">
      <c r="A52" s="77"/>
      <c r="B52" s="77"/>
      <c r="C52" s="77"/>
      <c r="D52" s="77"/>
      <c r="E52" s="77"/>
      <c r="F52" s="77"/>
      <c r="G52" s="77"/>
      <c r="H52" s="77"/>
      <c r="I52" s="77"/>
      <c r="J52" s="77"/>
      <c r="K52" s="77"/>
    </row>
    <row r="53" spans="1:11" x14ac:dyDescent="0.25">
      <c r="A53" s="77"/>
      <c r="B53" s="80" t="s">
        <v>418</v>
      </c>
      <c r="C53" s="81" t="s">
        <v>504</v>
      </c>
      <c r="D53" s="77" t="s">
        <v>544</v>
      </c>
      <c r="E53" s="77"/>
      <c r="F53" s="77"/>
      <c r="G53" s="77"/>
      <c r="H53" s="77"/>
      <c r="I53" s="77"/>
      <c r="J53" s="77"/>
      <c r="K53" s="77"/>
    </row>
    <row r="54" spans="1:11" x14ac:dyDescent="0.25">
      <c r="A54" s="77"/>
      <c r="B54" s="77"/>
      <c r="C54" s="77"/>
      <c r="D54" s="77"/>
      <c r="E54" s="77"/>
      <c r="F54" s="77"/>
      <c r="G54" s="77"/>
      <c r="H54" s="77"/>
      <c r="I54" s="77"/>
      <c r="J54" s="77"/>
      <c r="K54" s="77"/>
    </row>
    <row r="55" spans="1:11" x14ac:dyDescent="0.25">
      <c r="A55" s="77"/>
      <c r="B55" s="80" t="s">
        <v>407</v>
      </c>
      <c r="C55" s="81" t="s">
        <v>504</v>
      </c>
      <c r="D55" s="77" t="s">
        <v>507</v>
      </c>
      <c r="E55" s="77"/>
      <c r="F55" s="77"/>
      <c r="G55" s="77"/>
      <c r="H55" s="77"/>
      <c r="I55" s="77"/>
      <c r="J55" s="77"/>
      <c r="K55" s="77"/>
    </row>
    <row r="56" spans="1:11" x14ac:dyDescent="0.25">
      <c r="A56" s="77"/>
      <c r="B56" s="80"/>
      <c r="C56" s="81"/>
      <c r="D56" s="242" t="s">
        <v>623</v>
      </c>
      <c r="E56" s="242"/>
      <c r="F56" s="242"/>
      <c r="G56" s="242"/>
      <c r="H56" s="242"/>
      <c r="I56" s="242"/>
      <c r="J56" s="242"/>
      <c r="K56" s="242"/>
    </row>
    <row r="57" spans="1:11" x14ac:dyDescent="0.25">
      <c r="A57" s="77"/>
      <c r="B57" s="77"/>
      <c r="C57" s="77"/>
      <c r="D57" s="242"/>
      <c r="E57" s="242"/>
      <c r="F57" s="242"/>
      <c r="G57" s="242"/>
      <c r="H57" s="242"/>
      <c r="I57" s="242"/>
      <c r="J57" s="242"/>
      <c r="K57" s="242"/>
    </row>
    <row r="58" spans="1:11" x14ac:dyDescent="0.25">
      <c r="A58" s="77"/>
      <c r="B58" s="77"/>
      <c r="C58" s="77"/>
      <c r="D58" s="77"/>
      <c r="E58" s="77"/>
      <c r="F58" s="77"/>
      <c r="G58" s="77"/>
      <c r="H58" s="77"/>
      <c r="I58" s="77"/>
      <c r="J58" s="77"/>
      <c r="K58" s="77"/>
    </row>
    <row r="59" spans="1:11" x14ac:dyDescent="0.25">
      <c r="A59" s="77"/>
      <c r="B59" s="80" t="s">
        <v>433</v>
      </c>
      <c r="C59" s="81" t="s">
        <v>504</v>
      </c>
      <c r="D59" s="245" t="s">
        <v>509</v>
      </c>
      <c r="E59" s="245"/>
      <c r="F59" s="245"/>
      <c r="G59" s="245"/>
      <c r="H59" s="245"/>
      <c r="I59" s="245"/>
      <c r="J59" s="245"/>
      <c r="K59" s="245"/>
    </row>
    <row r="60" spans="1:11" x14ac:dyDescent="0.25">
      <c r="A60" s="77"/>
      <c r="B60" s="77"/>
      <c r="C60" s="77"/>
      <c r="D60" s="245"/>
      <c r="E60" s="245"/>
      <c r="F60" s="245"/>
      <c r="G60" s="245"/>
      <c r="H60" s="245"/>
      <c r="I60" s="245"/>
      <c r="J60" s="245"/>
      <c r="K60" s="245"/>
    </row>
    <row r="61" spans="1:11" x14ac:dyDescent="0.25">
      <c r="A61" s="77"/>
      <c r="B61" s="77"/>
      <c r="C61" s="77"/>
      <c r="D61" s="83" t="s">
        <v>510</v>
      </c>
      <c r="E61" s="77"/>
      <c r="F61" s="77"/>
      <c r="G61" s="77"/>
      <c r="H61" s="77"/>
      <c r="I61" s="77"/>
      <c r="J61" s="77"/>
      <c r="K61" s="77"/>
    </row>
    <row r="62" spans="1:11" x14ac:dyDescent="0.25">
      <c r="A62" s="77"/>
      <c r="B62" s="77"/>
      <c r="C62" s="77"/>
      <c r="D62" s="77"/>
      <c r="E62" s="77"/>
      <c r="F62" s="77"/>
      <c r="G62" s="77"/>
      <c r="H62" s="77"/>
      <c r="I62" s="77"/>
      <c r="J62" s="77"/>
      <c r="K62" s="77"/>
    </row>
    <row r="63" spans="1:11" x14ac:dyDescent="0.25">
      <c r="A63" s="77"/>
      <c r="B63" s="240" t="s">
        <v>537</v>
      </c>
      <c r="C63" s="240"/>
      <c r="D63" s="240"/>
      <c r="E63" s="240"/>
      <c r="F63" s="240"/>
      <c r="G63" s="240"/>
      <c r="H63" s="240"/>
      <c r="I63" s="240"/>
      <c r="J63" s="240"/>
      <c r="K63" s="240"/>
    </row>
    <row r="64" spans="1:11" ht="15" customHeight="1" x14ac:dyDescent="0.25">
      <c r="A64" s="77"/>
      <c r="B64" s="239" t="s">
        <v>543</v>
      </c>
      <c r="C64" s="239"/>
      <c r="D64" s="239"/>
      <c r="E64" s="239"/>
      <c r="F64" s="239"/>
      <c r="G64" s="239"/>
      <c r="H64" s="239"/>
      <c r="I64" s="239"/>
      <c r="J64" s="239"/>
      <c r="K64" s="239"/>
    </row>
    <row r="65" spans="1:11" x14ac:dyDescent="0.25">
      <c r="A65" s="77"/>
      <c r="B65" s="239"/>
      <c r="C65" s="239"/>
      <c r="D65" s="239"/>
      <c r="E65" s="239"/>
      <c r="F65" s="239"/>
      <c r="G65" s="239"/>
      <c r="H65" s="239"/>
      <c r="I65" s="239"/>
      <c r="J65" s="239"/>
      <c r="K65" s="239"/>
    </row>
    <row r="66" spans="1:11" x14ac:dyDescent="0.25">
      <c r="A66" s="77"/>
      <c r="B66" s="225"/>
      <c r="C66" s="225"/>
      <c r="D66" s="225"/>
      <c r="E66" s="225"/>
      <c r="F66" s="225"/>
      <c r="G66" s="225"/>
      <c r="H66" s="225"/>
      <c r="I66" s="225"/>
      <c r="J66" s="225"/>
      <c r="K66" s="225"/>
    </row>
    <row r="67" spans="1:11" x14ac:dyDescent="0.25">
      <c r="A67" s="77"/>
      <c r="B67" s="77"/>
      <c r="C67" s="77"/>
      <c r="D67" s="77"/>
      <c r="E67" s="77"/>
      <c r="F67" s="77"/>
      <c r="G67" s="77"/>
      <c r="H67" s="77"/>
      <c r="I67" s="77"/>
      <c r="J67" s="77"/>
      <c r="K67" s="77"/>
    </row>
    <row r="68" spans="1:11" x14ac:dyDescent="0.25">
      <c r="A68" s="77"/>
      <c r="B68" s="77"/>
      <c r="C68" s="77"/>
      <c r="D68" s="77"/>
      <c r="E68" s="77"/>
      <c r="F68" s="77"/>
      <c r="G68" s="77"/>
      <c r="H68" s="77"/>
      <c r="I68" s="77"/>
      <c r="J68" s="77"/>
      <c r="K68" s="77"/>
    </row>
    <row r="69" spans="1:11" x14ac:dyDescent="0.25">
      <c r="A69" s="77"/>
      <c r="B69" s="77"/>
      <c r="C69" s="77"/>
      <c r="D69" s="77"/>
      <c r="E69" s="77"/>
      <c r="F69" s="77"/>
      <c r="G69" s="77"/>
      <c r="H69" s="77"/>
      <c r="I69" s="77"/>
      <c r="J69" s="77"/>
      <c r="K69" s="77"/>
    </row>
    <row r="70" spans="1:11" x14ac:dyDescent="0.25">
      <c r="A70" s="77"/>
      <c r="B70" s="77"/>
      <c r="C70" s="77"/>
      <c r="D70" s="77"/>
      <c r="E70" s="77"/>
      <c r="F70" s="77"/>
      <c r="G70" s="77"/>
      <c r="H70" s="77"/>
      <c r="I70" s="77"/>
      <c r="J70" s="77"/>
      <c r="K70" s="77"/>
    </row>
    <row r="71" spans="1:11" x14ac:dyDescent="0.25">
      <c r="A71" s="77"/>
      <c r="B71" s="77"/>
      <c r="C71" s="77"/>
      <c r="D71" s="77"/>
      <c r="E71" s="77"/>
      <c r="F71" s="77"/>
      <c r="G71" s="77"/>
      <c r="H71" s="77"/>
      <c r="I71" s="77"/>
      <c r="J71" s="77"/>
      <c r="K71" s="77"/>
    </row>
    <row r="72" spans="1:11" x14ac:dyDescent="0.25">
      <c r="A72" s="77"/>
      <c r="B72" s="77"/>
      <c r="C72" s="77"/>
      <c r="D72" s="77"/>
      <c r="E72" s="77"/>
      <c r="F72" s="77"/>
      <c r="G72" s="77"/>
      <c r="H72" s="77"/>
      <c r="I72" s="77"/>
      <c r="J72" s="77"/>
      <c r="K72" s="77"/>
    </row>
    <row r="73" spans="1:11" x14ac:dyDescent="0.25">
      <c r="A73" s="77"/>
      <c r="B73" s="77"/>
      <c r="C73" s="77"/>
      <c r="D73" s="77"/>
      <c r="E73" s="77"/>
      <c r="F73" s="77"/>
      <c r="G73" s="77"/>
      <c r="H73" s="77"/>
      <c r="I73" s="77"/>
      <c r="J73" s="77"/>
      <c r="K73" s="77"/>
    </row>
    <row r="74" spans="1:11" x14ac:dyDescent="0.25">
      <c r="A74" s="77"/>
      <c r="B74" s="77"/>
      <c r="C74" s="77"/>
      <c r="D74" s="77"/>
      <c r="E74" s="77"/>
      <c r="F74" s="77"/>
      <c r="G74" s="77"/>
      <c r="H74" s="77"/>
      <c r="I74" s="77"/>
      <c r="J74" s="77"/>
      <c r="K74" s="77"/>
    </row>
    <row r="75" spans="1:11" x14ac:dyDescent="0.25">
      <c r="A75" s="77"/>
      <c r="B75" s="77"/>
      <c r="C75" s="77"/>
      <c r="D75" s="77"/>
      <c r="E75" s="77"/>
      <c r="F75" s="77"/>
      <c r="G75" s="77"/>
      <c r="H75" s="77"/>
      <c r="I75" s="77"/>
      <c r="J75" s="77"/>
      <c r="K75" s="77"/>
    </row>
    <row r="76" spans="1:11" x14ac:dyDescent="0.25">
      <c r="A76" s="77"/>
      <c r="B76" s="77"/>
      <c r="C76" s="77"/>
      <c r="D76" s="77"/>
      <c r="E76" s="77"/>
      <c r="F76" s="77"/>
      <c r="G76" s="77"/>
      <c r="H76" s="77"/>
      <c r="I76" s="77"/>
      <c r="J76" s="77"/>
      <c r="K76" s="77"/>
    </row>
    <row r="77" spans="1:11" x14ac:dyDescent="0.25">
      <c r="A77" s="77"/>
      <c r="B77" s="77"/>
      <c r="C77" s="77"/>
      <c r="D77" s="77"/>
      <c r="E77" s="77"/>
      <c r="F77" s="77"/>
      <c r="G77" s="77"/>
      <c r="H77" s="77"/>
      <c r="I77" s="77"/>
      <c r="J77" s="77"/>
      <c r="K77" s="77"/>
    </row>
    <row r="78" spans="1:11" x14ac:dyDescent="0.25">
      <c r="A78" s="77"/>
      <c r="B78" s="77"/>
      <c r="C78" s="77"/>
      <c r="D78" s="77"/>
      <c r="E78" s="77"/>
      <c r="F78" s="77"/>
      <c r="G78" s="77"/>
      <c r="H78" s="77"/>
      <c r="I78" s="77"/>
      <c r="J78" s="77"/>
      <c r="K78" s="77"/>
    </row>
    <row r="79" spans="1:11" x14ac:dyDescent="0.25">
      <c r="A79" s="77"/>
      <c r="B79" s="77"/>
      <c r="C79" s="77"/>
      <c r="D79" s="77"/>
      <c r="E79" s="77"/>
      <c r="F79" s="77"/>
      <c r="G79" s="77"/>
      <c r="H79" s="77"/>
      <c r="I79" s="77"/>
      <c r="J79" s="77"/>
      <c r="K79" s="77"/>
    </row>
    <row r="80" spans="1:11" x14ac:dyDescent="0.25">
      <c r="A80" s="77"/>
      <c r="B80" s="77"/>
      <c r="C80" s="77"/>
      <c r="D80" s="77"/>
      <c r="E80" s="77"/>
      <c r="F80" s="77"/>
      <c r="G80" s="77"/>
      <c r="H80" s="77"/>
      <c r="I80" s="77"/>
      <c r="J80" s="77"/>
      <c r="K80" s="77"/>
    </row>
    <row r="81" spans="1:11" x14ac:dyDescent="0.25">
      <c r="A81" s="77"/>
      <c r="B81" s="77"/>
      <c r="C81" s="77"/>
      <c r="D81" s="77"/>
      <c r="E81" s="77"/>
      <c r="F81" s="77"/>
      <c r="G81" s="77"/>
      <c r="H81" s="77"/>
      <c r="I81" s="77"/>
      <c r="J81" s="77"/>
      <c r="K81" s="77"/>
    </row>
    <row r="82" spans="1:11" x14ac:dyDescent="0.25">
      <c r="A82" s="77"/>
      <c r="B82" s="77"/>
      <c r="C82" s="77"/>
      <c r="D82" s="77"/>
      <c r="E82" s="77"/>
      <c r="F82" s="77"/>
      <c r="G82" s="77"/>
      <c r="H82" s="77"/>
      <c r="I82" s="77"/>
      <c r="J82" s="77"/>
      <c r="K82" s="77"/>
    </row>
    <row r="83" spans="1:11" x14ac:dyDescent="0.25">
      <c r="A83" s="77"/>
      <c r="B83" s="77"/>
      <c r="C83" s="77"/>
      <c r="D83" s="77"/>
      <c r="E83" s="77"/>
      <c r="F83" s="77"/>
      <c r="G83" s="77"/>
      <c r="H83" s="77"/>
      <c r="I83" s="77"/>
      <c r="J83" s="77"/>
      <c r="K83" s="77"/>
    </row>
    <row r="84" spans="1:11" x14ac:dyDescent="0.25">
      <c r="A84" s="77"/>
      <c r="B84" s="77"/>
      <c r="C84" s="77"/>
      <c r="D84" s="77"/>
      <c r="E84" s="77"/>
      <c r="F84" s="77"/>
      <c r="G84" s="77"/>
      <c r="H84" s="77"/>
      <c r="I84" s="77"/>
      <c r="J84" s="77"/>
      <c r="K84" s="77"/>
    </row>
    <row r="85" spans="1:11" x14ac:dyDescent="0.25">
      <c r="A85" s="77"/>
      <c r="B85" s="77"/>
      <c r="C85" s="77"/>
      <c r="D85" s="77"/>
      <c r="E85" s="77"/>
      <c r="F85" s="77"/>
      <c r="G85" s="77"/>
      <c r="H85" s="77"/>
      <c r="I85" s="77"/>
      <c r="J85" s="77"/>
      <c r="K85" s="77"/>
    </row>
    <row r="86" spans="1:11" x14ac:dyDescent="0.25">
      <c r="A86" s="77"/>
      <c r="B86" s="77"/>
      <c r="C86" s="77"/>
      <c r="D86" s="77"/>
      <c r="E86" s="77"/>
      <c r="F86" s="77"/>
      <c r="G86" s="77"/>
      <c r="H86" s="77"/>
      <c r="I86" s="77"/>
      <c r="J86" s="77"/>
      <c r="K86" s="77"/>
    </row>
    <row r="87" spans="1:11" x14ac:dyDescent="0.25">
      <c r="A87" s="77"/>
      <c r="B87" s="77"/>
      <c r="C87" s="77"/>
      <c r="D87" s="77"/>
      <c r="E87" s="77"/>
      <c r="F87" s="77"/>
      <c r="G87" s="77"/>
      <c r="H87" s="77"/>
      <c r="I87" s="77"/>
      <c r="J87" s="77"/>
      <c r="K87" s="77"/>
    </row>
    <row r="88" spans="1:11" x14ac:dyDescent="0.25">
      <c r="A88" s="77"/>
      <c r="B88" s="77"/>
      <c r="C88" s="77"/>
      <c r="D88" s="77"/>
      <c r="E88" s="77"/>
      <c r="F88" s="77"/>
      <c r="G88" s="77"/>
      <c r="H88" s="77"/>
      <c r="I88" s="77"/>
      <c r="J88" s="77"/>
      <c r="K88" s="77"/>
    </row>
    <row r="89" spans="1:11" x14ac:dyDescent="0.25">
      <c r="A89" s="77"/>
      <c r="B89" s="77"/>
      <c r="C89" s="77"/>
      <c r="D89" s="77"/>
      <c r="E89" s="77"/>
      <c r="F89" s="77"/>
      <c r="G89" s="77"/>
      <c r="H89" s="77"/>
      <c r="I89" s="77"/>
      <c r="J89" s="77"/>
      <c r="K89" s="77"/>
    </row>
    <row r="90" spans="1:11" x14ac:dyDescent="0.25">
      <c r="A90" s="77"/>
      <c r="B90" s="77"/>
      <c r="C90" s="77"/>
      <c r="D90" s="77"/>
      <c r="E90" s="77"/>
      <c r="F90" s="77"/>
      <c r="G90" s="77"/>
      <c r="H90" s="77"/>
      <c r="I90" s="77"/>
      <c r="J90" s="77"/>
      <c r="K90" s="77"/>
    </row>
    <row r="91" spans="1:11" x14ac:dyDescent="0.25">
      <c r="A91" s="77"/>
      <c r="B91" s="77"/>
      <c r="C91" s="77"/>
      <c r="D91" s="77"/>
      <c r="E91" s="77"/>
      <c r="F91" s="77"/>
      <c r="G91" s="77"/>
      <c r="H91" s="77"/>
      <c r="I91" s="77"/>
      <c r="J91" s="77"/>
      <c r="K91" s="77"/>
    </row>
    <row r="92" spans="1:11" x14ac:dyDescent="0.25">
      <c r="A92" s="77"/>
      <c r="B92" s="77"/>
      <c r="C92" s="77"/>
      <c r="D92" s="77"/>
      <c r="E92" s="77"/>
      <c r="F92" s="77"/>
      <c r="G92" s="77"/>
      <c r="H92" s="77"/>
      <c r="I92" s="77"/>
      <c r="J92" s="77"/>
      <c r="K92" s="77"/>
    </row>
    <row r="93" spans="1:11" x14ac:dyDescent="0.25">
      <c r="A93" s="77"/>
      <c r="B93" s="77"/>
      <c r="C93" s="77"/>
      <c r="D93" s="77"/>
      <c r="E93" s="77"/>
      <c r="F93" s="77"/>
      <c r="G93" s="77"/>
      <c r="H93" s="77"/>
      <c r="I93" s="77"/>
      <c r="J93" s="77"/>
      <c r="K93" s="77"/>
    </row>
    <row r="94" spans="1:11" x14ac:dyDescent="0.25">
      <c r="A94" s="77"/>
      <c r="B94" s="77"/>
      <c r="C94" s="77"/>
      <c r="D94" s="77"/>
      <c r="E94" s="77"/>
      <c r="F94" s="77"/>
      <c r="G94" s="77"/>
      <c r="H94" s="77"/>
      <c r="I94" s="77"/>
      <c r="J94" s="77"/>
      <c r="K94" s="77"/>
    </row>
    <row r="95" spans="1:11" x14ac:dyDescent="0.25">
      <c r="A95" s="77"/>
      <c r="B95" s="77"/>
      <c r="C95" s="77"/>
      <c r="D95" s="77"/>
      <c r="E95" s="77"/>
      <c r="F95" s="77"/>
      <c r="G95" s="77"/>
      <c r="H95" s="77"/>
      <c r="I95" s="77"/>
      <c r="J95" s="77"/>
      <c r="K95" s="77"/>
    </row>
    <row r="96" spans="1:11" x14ac:dyDescent="0.25">
      <c r="A96" s="77"/>
      <c r="B96" s="77"/>
      <c r="C96" s="77"/>
      <c r="D96" s="77"/>
      <c r="E96" s="77"/>
      <c r="F96" s="77"/>
      <c r="G96" s="77"/>
      <c r="H96" s="77"/>
      <c r="I96" s="77"/>
      <c r="J96" s="77"/>
      <c r="K96" s="77"/>
    </row>
    <row r="97" spans="1:11" x14ac:dyDescent="0.25">
      <c r="A97" s="77"/>
      <c r="B97" s="77"/>
      <c r="C97" s="77"/>
      <c r="D97" s="77"/>
      <c r="E97" s="77"/>
      <c r="F97" s="77"/>
      <c r="G97" s="77"/>
      <c r="H97" s="77"/>
      <c r="I97" s="77"/>
      <c r="J97" s="77"/>
      <c r="K97" s="77"/>
    </row>
  </sheetData>
  <sheetProtection sheet="1" objects="1" scenarios="1"/>
  <mergeCells count="19">
    <mergeCell ref="C1:K3"/>
    <mergeCell ref="D15:J17"/>
    <mergeCell ref="D11:K13"/>
    <mergeCell ref="D19:K21"/>
    <mergeCell ref="C7:K7"/>
    <mergeCell ref="C4:K4"/>
    <mergeCell ref="C5:K5"/>
    <mergeCell ref="C6:K6"/>
    <mergeCell ref="D24:K26"/>
    <mergeCell ref="D28:J30"/>
    <mergeCell ref="D32:K34"/>
    <mergeCell ref="D59:K60"/>
    <mergeCell ref="D36:K37"/>
    <mergeCell ref="B64:K65"/>
    <mergeCell ref="B63:K63"/>
    <mergeCell ref="D38:K41"/>
    <mergeCell ref="D56:K57"/>
    <mergeCell ref="D42:K44"/>
    <mergeCell ref="D46:K46"/>
  </mergeCells>
  <phoneticPr fontId="34" type="noConversion"/>
  <pageMargins left="0.7" right="0.7" top="0.75" bottom="0.75" header="0.3" footer="0.3"/>
  <pageSetup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70B85-E431-4AA5-8A1A-BC20399416FA}">
  <dimension ref="E2:S48"/>
  <sheetViews>
    <sheetView workbookViewId="0">
      <selection activeCell="J8" sqref="J8"/>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408</v>
      </c>
      <c r="G2" s="37" t="s">
        <v>409</v>
      </c>
      <c r="H2" s="37" t="s">
        <v>429</v>
      </c>
      <c r="I2" s="37" t="s">
        <v>411</v>
      </c>
      <c r="J2" s="37" t="s">
        <v>404</v>
      </c>
      <c r="K2" s="6"/>
      <c r="L2" s="7"/>
      <c r="M2" s="7"/>
      <c r="N2" s="7"/>
      <c r="O2" s="7"/>
      <c r="P2" s="7"/>
    </row>
    <row r="3" spans="5:19" ht="18.75" x14ac:dyDescent="0.3">
      <c r="E3" s="10"/>
      <c r="F3" s="38" t="s">
        <v>60</v>
      </c>
      <c r="G3" s="38" t="s">
        <v>60</v>
      </c>
      <c r="H3" s="54" t="s">
        <v>430</v>
      </c>
      <c r="I3" s="38" t="s">
        <v>60</v>
      </c>
      <c r="J3" s="37"/>
      <c r="K3" s="2"/>
      <c r="L3" s="10"/>
      <c r="M3" s="10"/>
      <c r="N3" s="10"/>
      <c r="O3" s="10"/>
      <c r="P3" s="10"/>
    </row>
    <row r="4" spans="5:19" ht="18.75" x14ac:dyDescent="0.3">
      <c r="E4" s="10" t="s">
        <v>419</v>
      </c>
      <c r="F4" s="48">
        <v>0.46</v>
      </c>
      <c r="G4" s="50">
        <f>'Non-Irrigated Base'!J19</f>
        <v>853</v>
      </c>
      <c r="H4" s="39">
        <f>G4/2000</f>
        <v>0.42649999999999999</v>
      </c>
      <c r="I4" s="48">
        <f>'Non-Irrigated Base'!L19</f>
        <v>0</v>
      </c>
      <c r="J4" s="39">
        <f>I4*H4</f>
        <v>0</v>
      </c>
      <c r="K4" s="6"/>
      <c r="L4" s="2">
        <f>2000*F4</f>
        <v>920</v>
      </c>
      <c r="M4" s="7"/>
      <c r="N4" s="7"/>
      <c r="O4" s="10"/>
      <c r="P4" s="42" t="s">
        <v>484</v>
      </c>
      <c r="Q4" s="42" t="s">
        <v>52</v>
      </c>
      <c r="R4" s="42" t="s">
        <v>442</v>
      </c>
      <c r="S4" s="42" t="s">
        <v>53</v>
      </c>
    </row>
    <row r="5" spans="5:19" ht="18.75" x14ac:dyDescent="0.3">
      <c r="E5" s="10" t="s">
        <v>420</v>
      </c>
      <c r="F5" s="48">
        <v>0.28000000000000003</v>
      </c>
      <c r="G5" s="50">
        <f>'Non-Irrigated Base'!J16</f>
        <v>513</v>
      </c>
      <c r="H5" s="39"/>
      <c r="I5" s="48">
        <f>'Non-Irrigated Base'!L16</f>
        <v>31</v>
      </c>
      <c r="J5" s="39">
        <f>L5*'Non-Irrigated Base'!L16*G5</f>
        <v>84.842505000000003</v>
      </c>
      <c r="K5" s="6"/>
      <c r="L5" s="2">
        <f>10.67/2000</f>
        <v>5.3350000000000003E-3</v>
      </c>
      <c r="M5" s="7"/>
      <c r="N5" s="7"/>
      <c r="O5" s="10"/>
      <c r="P5" s="56">
        <f>(I5*10.67*F5)+(I4*F4)+(I11*F11)+(F7*11.04*I7)+(I9*F9)+(I10*F10)+(I8*11.7*F8)+(I6*F6)</f>
        <v>120.57559999999999</v>
      </c>
      <c r="Q5" s="42">
        <f>(I15*F15)+(F16*I16)+(F14*11.7*I14)</f>
        <v>57.61</v>
      </c>
      <c r="R5" s="42">
        <f>(I17*F17)+(F18*I18)</f>
        <v>33</v>
      </c>
      <c r="S5" s="42">
        <f>(I20*F20)+(F19*11.04*I19)+(F21*I21)</f>
        <v>8.4</v>
      </c>
    </row>
    <row r="6" spans="5:19" ht="18.75" x14ac:dyDescent="0.3">
      <c r="E6" s="10" t="s">
        <v>577</v>
      </c>
      <c r="F6" s="48">
        <v>0.82</v>
      </c>
      <c r="G6" s="50">
        <f>'Non-Irrigated Base'!J17</f>
        <v>1100</v>
      </c>
      <c r="H6" s="39">
        <f>G6/2000</f>
        <v>0.55000000000000004</v>
      </c>
      <c r="I6" s="48">
        <f>'Non-Irrigated Base'!L17</f>
        <v>0</v>
      </c>
      <c r="J6" s="39">
        <f>I6*H6</f>
        <v>0</v>
      </c>
      <c r="K6" s="6"/>
      <c r="L6" s="2">
        <f>2000*F6</f>
        <v>1640</v>
      </c>
      <c r="M6" s="7"/>
      <c r="N6" s="7"/>
      <c r="O6" s="10"/>
      <c r="P6" s="56"/>
      <c r="Q6" s="42"/>
      <c r="R6" s="42"/>
      <c r="S6" s="42"/>
    </row>
    <row r="7" spans="5:19" ht="18.75" x14ac:dyDescent="0.3">
      <c r="E7" s="10" t="s">
        <v>448</v>
      </c>
      <c r="F7" s="48">
        <v>0.12</v>
      </c>
      <c r="G7" s="50">
        <f>'Non-Irrigated Base'!J18</f>
        <v>550</v>
      </c>
      <c r="H7" s="39">
        <f>G7/(2000*M46)</f>
        <v>0.87083333333333335</v>
      </c>
      <c r="I7" s="52">
        <f>'Non-Irrigated Base'!L18</f>
        <v>0</v>
      </c>
      <c r="J7" s="39">
        <f>L7*'Non-Irrigated Base'!L18*G7</f>
        <v>0</v>
      </c>
      <c r="K7" s="6"/>
      <c r="L7" s="2">
        <f>11.04/2000</f>
        <v>5.5199999999999997E-3</v>
      </c>
      <c r="M7" s="7"/>
      <c r="N7" s="7"/>
      <c r="O7" s="10"/>
      <c r="P7" s="56"/>
      <c r="Q7" s="7"/>
      <c r="R7" s="7"/>
      <c r="S7" s="7"/>
    </row>
    <row r="8" spans="5:19" ht="18.75" x14ac:dyDescent="0.3">
      <c r="E8" s="10" t="s">
        <v>485</v>
      </c>
      <c r="F8" s="48">
        <v>0.1</v>
      </c>
      <c r="G8" s="50">
        <f>'Non-Irrigated Base'!J22</f>
        <v>700</v>
      </c>
      <c r="H8" s="39"/>
      <c r="I8" s="48">
        <f>'Non-Irrigated Base'!L22</f>
        <v>5</v>
      </c>
      <c r="J8" s="39">
        <f>L8*'Non-Irrigated Base'!L22*G8</f>
        <v>20.474999999999998</v>
      </c>
      <c r="K8" s="6"/>
      <c r="L8" s="2">
        <f>11.7/2000</f>
        <v>5.8499999999999993E-3</v>
      </c>
      <c r="M8" s="10"/>
      <c r="N8" s="10"/>
      <c r="O8" s="10"/>
      <c r="P8" s="10"/>
    </row>
    <row r="9" spans="5:19" ht="18.75" x14ac:dyDescent="0.3">
      <c r="E9" s="10" t="s">
        <v>422</v>
      </c>
      <c r="F9" s="48">
        <v>0.18</v>
      </c>
      <c r="G9" s="50">
        <f>F31</f>
        <v>153.54</v>
      </c>
      <c r="H9" s="39">
        <f>I31</f>
        <v>0.42849999999999999</v>
      </c>
      <c r="I9" s="48">
        <f>'Non-Irrigated Base'!L20</f>
        <v>82</v>
      </c>
      <c r="J9" s="40">
        <f>I9*H9*M28</f>
        <v>9.8822812500000001</v>
      </c>
      <c r="K9" s="6"/>
      <c r="L9" s="2">
        <f>2000*F15</f>
        <v>920</v>
      </c>
      <c r="M9" s="10"/>
      <c r="N9" s="10"/>
      <c r="O9" s="10"/>
      <c r="P9" s="10"/>
    </row>
    <row r="10" spans="5:19" ht="18.75" x14ac:dyDescent="0.3">
      <c r="E10" s="10" t="s">
        <v>423</v>
      </c>
      <c r="F10" s="48">
        <v>0.11</v>
      </c>
      <c r="G10" s="50">
        <f>F36</f>
        <v>93.83</v>
      </c>
      <c r="H10" s="39">
        <f>I36</f>
        <v>0.44700000000000001</v>
      </c>
      <c r="I10" s="48">
        <f>'Non-Irrigated Base'!L21</f>
        <v>0</v>
      </c>
      <c r="J10" s="40">
        <f>I10*H10*M33</f>
        <v>0</v>
      </c>
      <c r="K10" s="6"/>
      <c r="L10" s="2">
        <f>2000*F16</f>
        <v>1040</v>
      </c>
      <c r="M10" s="10"/>
      <c r="N10" s="10"/>
      <c r="O10" s="10"/>
      <c r="P10" s="10"/>
    </row>
    <row r="11" spans="5:19" ht="18.75" x14ac:dyDescent="0.3">
      <c r="E11" s="10" t="s">
        <v>412</v>
      </c>
      <c r="F11" s="48">
        <v>0.21</v>
      </c>
      <c r="G11" s="50">
        <f>F43</f>
        <v>179.13</v>
      </c>
      <c r="H11" s="39">
        <f>G11/(2000*M41)</f>
        <v>0.19192499999999998</v>
      </c>
      <c r="I11" s="52">
        <f>'Non-Irrigated Base'!L25</f>
        <v>35</v>
      </c>
      <c r="J11" s="41">
        <f>I11*H11*M41</f>
        <v>3.1347749999999999</v>
      </c>
      <c r="K11" s="6"/>
      <c r="L11" s="2">
        <f>2000*F11</f>
        <v>420</v>
      </c>
      <c r="M11" s="10"/>
      <c r="N11" s="10"/>
      <c r="O11" s="10"/>
      <c r="P11" s="10"/>
    </row>
    <row r="12" spans="5:19" ht="18.75" x14ac:dyDescent="0.3">
      <c r="E12" s="10"/>
      <c r="F12" s="51"/>
      <c r="G12" s="51"/>
      <c r="H12" s="37"/>
      <c r="I12" s="51"/>
      <c r="J12" s="39">
        <f>SUM(J4:J11)</f>
        <v>118.33456125000001</v>
      </c>
      <c r="K12" s="6"/>
      <c r="L12" s="2"/>
      <c r="M12" s="10"/>
      <c r="N12" s="10"/>
      <c r="O12" s="10"/>
      <c r="P12" s="10"/>
    </row>
    <row r="13" spans="5:19" ht="18.75" x14ac:dyDescent="0.3">
      <c r="E13" s="10"/>
      <c r="F13" s="51"/>
      <c r="G13" s="51"/>
      <c r="H13" s="37"/>
      <c r="I13" s="51"/>
      <c r="J13" s="39"/>
      <c r="K13" s="6"/>
      <c r="L13" s="2"/>
      <c r="M13" s="10"/>
      <c r="N13" s="10"/>
      <c r="O13" s="10"/>
      <c r="P13" s="10"/>
    </row>
    <row r="14" spans="5:19" ht="18.75" x14ac:dyDescent="0.3">
      <c r="E14" s="10" t="s">
        <v>486</v>
      </c>
      <c r="F14" s="48">
        <v>0.34</v>
      </c>
      <c r="G14" s="50">
        <f>'Non-Irrigated Base'!J22</f>
        <v>700</v>
      </c>
      <c r="H14" s="39"/>
      <c r="I14" s="48">
        <f>'Non-Irrigated Base'!L22</f>
        <v>5</v>
      </c>
      <c r="J14" s="39">
        <f>L14*'Non-Irrigated Base'!L22*G14</f>
        <v>20.474999999999998</v>
      </c>
      <c r="K14" s="6"/>
      <c r="L14" s="2">
        <f>11.7/2000</f>
        <v>5.8499999999999993E-3</v>
      </c>
      <c r="M14" s="10"/>
      <c r="N14" s="10"/>
      <c r="O14" s="10"/>
      <c r="P14" s="10"/>
    </row>
    <row r="15" spans="5:19" ht="18.75" x14ac:dyDescent="0.3">
      <c r="E15" s="10" t="s">
        <v>421</v>
      </c>
      <c r="F15" s="48">
        <v>0.46</v>
      </c>
      <c r="G15" s="50">
        <f>G31</f>
        <v>703.46</v>
      </c>
      <c r="H15" s="39">
        <f>I31</f>
        <v>0.42849999999999999</v>
      </c>
      <c r="I15" s="48">
        <f>'Non-Irrigated Base'!L20</f>
        <v>82</v>
      </c>
      <c r="J15" s="39">
        <f>I15*H15*N28</f>
        <v>25.254718750000002</v>
      </c>
      <c r="K15" s="6"/>
      <c r="L15" s="2">
        <f>2000*F9</f>
        <v>360</v>
      </c>
      <c r="M15" s="10"/>
      <c r="N15" s="10"/>
      <c r="O15" s="10"/>
      <c r="P15" s="10"/>
    </row>
    <row r="16" spans="5:19" ht="18.75" x14ac:dyDescent="0.3">
      <c r="E16" s="10" t="s">
        <v>428</v>
      </c>
      <c r="F16" s="48">
        <v>0.52</v>
      </c>
      <c r="G16" s="50">
        <f>G36</f>
        <v>800.17</v>
      </c>
      <c r="H16" s="39">
        <f>I36</f>
        <v>0.44700000000000001</v>
      </c>
      <c r="I16" s="48">
        <f>'Non-Irrigated Base'!L21</f>
        <v>0</v>
      </c>
      <c r="J16" s="39">
        <f>I16*H16*N33</f>
        <v>0</v>
      </c>
      <c r="K16" s="6"/>
      <c r="L16" s="2">
        <f>2000*F11</f>
        <v>420</v>
      </c>
      <c r="M16" s="10"/>
      <c r="N16" s="10"/>
      <c r="O16" s="10"/>
      <c r="P16" s="10"/>
    </row>
    <row r="17" spans="5:16" ht="18.75" x14ac:dyDescent="0.3">
      <c r="E17" s="10" t="s">
        <v>413</v>
      </c>
      <c r="F17" s="52">
        <v>0.6</v>
      </c>
      <c r="G17" s="50">
        <f>'Non-Irrigated Base'!J23</f>
        <v>503</v>
      </c>
      <c r="H17" s="39">
        <f>G17/2000</f>
        <v>0.2515</v>
      </c>
      <c r="I17" s="48">
        <f>'Non-Irrigated Base'!L23</f>
        <v>55</v>
      </c>
      <c r="J17" s="40">
        <f>I17*H17</f>
        <v>13.8325</v>
      </c>
      <c r="K17" s="6"/>
      <c r="L17" s="2">
        <f>2000*F17</f>
        <v>1200</v>
      </c>
      <c r="M17" s="10"/>
      <c r="N17" s="10"/>
      <c r="O17" s="10"/>
      <c r="P17" s="10"/>
    </row>
    <row r="18" spans="5:16" ht="18.75" x14ac:dyDescent="0.3">
      <c r="E18" s="10" t="s">
        <v>487</v>
      </c>
      <c r="F18" s="52">
        <v>0.22</v>
      </c>
      <c r="G18" s="50">
        <f>'Non-Irrigated Base'!J24</f>
        <v>0</v>
      </c>
      <c r="H18" s="39">
        <f>G18/2000</f>
        <v>0</v>
      </c>
      <c r="I18" s="48">
        <f>'Non-Irrigated Base'!L24</f>
        <v>0</v>
      </c>
      <c r="J18" s="40">
        <f>I18*H18</f>
        <v>0</v>
      </c>
      <c r="K18" s="6"/>
      <c r="L18" s="2">
        <f>2000*F18</f>
        <v>440</v>
      </c>
      <c r="M18" s="10"/>
      <c r="N18" s="10"/>
      <c r="O18" s="10"/>
      <c r="P18" s="10"/>
    </row>
    <row r="19" spans="5:16" ht="18.75" x14ac:dyDescent="0.3">
      <c r="E19" s="10" t="s">
        <v>450</v>
      </c>
      <c r="F19" s="48">
        <v>0.26</v>
      </c>
      <c r="G19" s="50">
        <f>G48</f>
        <v>503.93799999999999</v>
      </c>
      <c r="H19" s="39">
        <f>G19/(2000*N45)</f>
        <v>4.8455576923076921E-4</v>
      </c>
      <c r="I19" s="52">
        <f>'Non-Irrigated Base'!L18</f>
        <v>0</v>
      </c>
      <c r="J19" s="46">
        <f>I19*H19*N40</f>
        <v>0</v>
      </c>
      <c r="K19" s="6"/>
      <c r="L19" s="2">
        <f>2000*F19</f>
        <v>520</v>
      </c>
      <c r="M19" s="10"/>
      <c r="N19" s="10"/>
      <c r="O19" s="10"/>
      <c r="P19" s="10"/>
    </row>
    <row r="20" spans="5:16" ht="18.75" x14ac:dyDescent="0.3">
      <c r="E20" s="10" t="s">
        <v>449</v>
      </c>
      <c r="F20" s="48">
        <v>0.24</v>
      </c>
      <c r="G20" s="50">
        <f>G43</f>
        <v>495.87</v>
      </c>
      <c r="H20" s="39">
        <f>G20/(2000*N41)</f>
        <v>0.46487812499999998</v>
      </c>
      <c r="I20" s="52">
        <f>'Non-Irrigated Base'!L25</f>
        <v>35</v>
      </c>
      <c r="J20" s="46">
        <f>I20*H20*N41</f>
        <v>8.6777250000000006</v>
      </c>
      <c r="K20" s="6"/>
      <c r="L20" s="2">
        <f>2000*F20</f>
        <v>480</v>
      </c>
      <c r="M20" s="10"/>
      <c r="N20" s="10"/>
      <c r="O20" s="10"/>
      <c r="P20" s="10"/>
    </row>
    <row r="21" spans="5:16" ht="18.75" x14ac:dyDescent="0.3">
      <c r="E21" s="10" t="s">
        <v>489</v>
      </c>
      <c r="F21" s="43">
        <v>0.17</v>
      </c>
      <c r="G21" s="50">
        <f>'Non-Irrigated Base'!J26</f>
        <v>0</v>
      </c>
      <c r="H21" s="39">
        <f>G21/2000</f>
        <v>0</v>
      </c>
      <c r="I21" s="64">
        <f>'Non-Irrigated Base'!L26</f>
        <v>0</v>
      </c>
      <c r="J21" s="40">
        <f>I21*H21</f>
        <v>0</v>
      </c>
      <c r="K21" s="6"/>
      <c r="L21" s="2">
        <f>2000*F21</f>
        <v>340</v>
      </c>
      <c r="M21" s="10"/>
      <c r="N21" s="10"/>
      <c r="O21" s="10"/>
      <c r="P21" s="10"/>
    </row>
    <row r="22" spans="5:16" ht="18.75" x14ac:dyDescent="0.3">
      <c r="E22" s="10"/>
      <c r="F22" s="37"/>
      <c r="G22" s="37"/>
      <c r="H22" s="37"/>
      <c r="I22" s="37"/>
      <c r="J22" s="39">
        <f>SUM(J14:J21)</f>
        <v>68.239943749999995</v>
      </c>
      <c r="K22" s="2"/>
      <c r="L22" s="10"/>
      <c r="M22" s="10"/>
      <c r="N22" s="10"/>
      <c r="O22" s="8"/>
      <c r="P22" s="8">
        <f>SUM(M27:N27)</f>
        <v>1280</v>
      </c>
    </row>
    <row r="23" spans="5:16" ht="18.75" x14ac:dyDescent="0.3">
      <c r="E23" s="10"/>
      <c r="F23" s="37"/>
      <c r="G23" s="37"/>
      <c r="H23" s="37"/>
      <c r="I23" s="8"/>
      <c r="J23" s="8"/>
      <c r="K23" s="2"/>
      <c r="L23" s="10"/>
      <c r="M23" s="10"/>
      <c r="N23" s="10"/>
      <c r="O23" s="8"/>
      <c r="P23" s="8">
        <f>SUM(M28:N28)</f>
        <v>1</v>
      </c>
    </row>
    <row r="24" spans="5:16" ht="18.75" x14ac:dyDescent="0.3">
      <c r="E24" s="10"/>
      <c r="F24" s="42"/>
      <c r="G24" s="42"/>
      <c r="H24" s="37"/>
      <c r="I24" s="43" t="s">
        <v>414</v>
      </c>
      <c r="J24" s="47">
        <f>J12+J22</f>
        <v>186.57450499999999</v>
      </c>
      <c r="K24" s="2"/>
      <c r="L24" s="10"/>
      <c r="M24" s="7"/>
      <c r="N24" s="7"/>
      <c r="O24" s="7"/>
      <c r="P24" s="7"/>
    </row>
    <row r="25" spans="5:16" ht="18.75" x14ac:dyDescent="0.3">
      <c r="E25" s="10"/>
      <c r="F25" s="37"/>
      <c r="G25" s="37"/>
      <c r="H25" s="37"/>
      <c r="I25" s="37"/>
      <c r="J25" s="37"/>
      <c r="K25" s="6"/>
      <c r="L25" s="7"/>
      <c r="M25" s="7"/>
      <c r="N25" s="7"/>
      <c r="O25" s="7"/>
      <c r="P25" s="7"/>
    </row>
    <row r="26" spans="5:16" ht="18.75" x14ac:dyDescent="0.3">
      <c r="E26" s="10"/>
      <c r="F26" s="37"/>
      <c r="G26" s="37"/>
      <c r="H26" s="37"/>
      <c r="I26" s="37"/>
      <c r="J26" s="37"/>
      <c r="K26" s="6"/>
      <c r="L26" s="7"/>
      <c r="M26" s="7"/>
      <c r="N26" s="7"/>
      <c r="O26" s="7"/>
      <c r="P26" s="7"/>
    </row>
    <row r="27" spans="5:16" ht="18.75" x14ac:dyDescent="0.3">
      <c r="E27" s="277" t="s">
        <v>415</v>
      </c>
      <c r="F27" s="278"/>
      <c r="G27" s="278"/>
      <c r="H27" s="278"/>
      <c r="I27" s="278"/>
      <c r="J27" s="279"/>
      <c r="K27" s="6"/>
      <c r="L27" s="7"/>
      <c r="M27" s="8">
        <f>2000*(F29/100)</f>
        <v>360</v>
      </c>
      <c r="N27" s="8">
        <f>2000*(G29/100)</f>
        <v>920</v>
      </c>
      <c r="O27" s="7"/>
      <c r="P27" s="7"/>
    </row>
    <row r="28" spans="5:16" ht="18.75" x14ac:dyDescent="0.3">
      <c r="E28" s="10"/>
      <c r="F28" s="37" t="s">
        <v>51</v>
      </c>
      <c r="G28" s="37" t="s">
        <v>52</v>
      </c>
      <c r="H28" s="37" t="s">
        <v>416</v>
      </c>
      <c r="I28" s="37"/>
      <c r="J28" s="37"/>
      <c r="K28" s="6"/>
      <c r="L28" s="7"/>
      <c r="M28" s="53">
        <f>M27/(M27+N27)</f>
        <v>0.28125</v>
      </c>
      <c r="N28" s="53">
        <f>N27/(M27+N27)</f>
        <v>0.71875</v>
      </c>
      <c r="O28" s="7"/>
      <c r="P28" s="7"/>
    </row>
    <row r="29" spans="5:16" ht="18.75" x14ac:dyDescent="0.3">
      <c r="E29" s="10"/>
      <c r="F29" s="48">
        <f>F9*100</f>
        <v>18</v>
      </c>
      <c r="G29" s="48">
        <f>F15*100</f>
        <v>46</v>
      </c>
      <c r="H29" s="49">
        <f>'Non-Irrigated Base'!J20</f>
        <v>857</v>
      </c>
      <c r="I29" s="37"/>
      <c r="J29" s="37"/>
      <c r="K29" s="6"/>
      <c r="L29" s="7" t="s">
        <v>364</v>
      </c>
      <c r="M29" s="7"/>
      <c r="N29" s="7"/>
      <c r="O29" s="7"/>
      <c r="P29" s="7"/>
    </row>
    <row r="30" spans="5:16" ht="18.75" x14ac:dyDescent="0.3">
      <c r="E30" s="10" t="s">
        <v>410</v>
      </c>
      <c r="F30" s="50">
        <f>H4</f>
        <v>0.42649999999999999</v>
      </c>
      <c r="G30" s="28">
        <f>G31/N27</f>
        <v>0.76463043478260873</v>
      </c>
      <c r="H30" s="42"/>
      <c r="I30" s="37"/>
      <c r="J30" s="37"/>
      <c r="K30" s="6"/>
      <c r="L30" s="7" t="s">
        <v>365</v>
      </c>
      <c r="M30" s="7"/>
      <c r="N30" s="7"/>
      <c r="O30" s="7"/>
      <c r="P30" s="7"/>
    </row>
    <row r="31" spans="5:16" ht="18.75" x14ac:dyDescent="0.3">
      <c r="E31" s="10" t="s">
        <v>409</v>
      </c>
      <c r="F31" s="28">
        <f>M27*F30</f>
        <v>153.54</v>
      </c>
      <c r="G31" s="28">
        <f>H29-F31</f>
        <v>703.46</v>
      </c>
      <c r="H31" s="28">
        <f>SUM(F31:G31)</f>
        <v>857</v>
      </c>
      <c r="I31" s="57">
        <f>H31/2000</f>
        <v>0.42849999999999999</v>
      </c>
      <c r="J31" s="42"/>
      <c r="K31" s="6"/>
      <c r="L31" s="7"/>
      <c r="M31" s="7"/>
      <c r="N31" s="7"/>
      <c r="O31" s="7"/>
      <c r="P31" s="7"/>
    </row>
    <row r="32" spans="5:16" ht="18.75" x14ac:dyDescent="0.3">
      <c r="E32" s="7"/>
      <c r="F32" s="44"/>
      <c r="G32" s="44"/>
      <c r="H32" s="44"/>
      <c r="I32" s="44"/>
      <c r="J32" s="44"/>
      <c r="K32" s="6"/>
      <c r="L32" s="7"/>
      <c r="M32" s="8">
        <f>2000*(F34/100)</f>
        <v>220</v>
      </c>
      <c r="N32" s="8">
        <f>2000*(G34/100)</f>
        <v>1040</v>
      </c>
      <c r="O32" s="7"/>
      <c r="P32" s="7"/>
    </row>
    <row r="33" spans="5:16" ht="18.75" x14ac:dyDescent="0.3">
      <c r="E33" s="10"/>
      <c r="F33" s="37" t="s">
        <v>51</v>
      </c>
      <c r="G33" s="37" t="s">
        <v>52</v>
      </c>
      <c r="H33" s="37" t="s">
        <v>416</v>
      </c>
      <c r="I33" s="37"/>
      <c r="J33" s="37"/>
      <c r="K33" s="6"/>
      <c r="L33" s="7"/>
      <c r="M33" s="53">
        <f>M32/(M32+N32)</f>
        <v>0.17460317460317459</v>
      </c>
      <c r="N33" s="53">
        <f>N32/(M32+N32)</f>
        <v>0.82539682539682535</v>
      </c>
      <c r="O33" s="7"/>
      <c r="P33" s="7"/>
    </row>
    <row r="34" spans="5:16" ht="18.75" x14ac:dyDescent="0.3">
      <c r="E34" s="10"/>
      <c r="F34" s="48">
        <f>F10*100</f>
        <v>11</v>
      </c>
      <c r="G34" s="48">
        <f>F16*100</f>
        <v>52</v>
      </c>
      <c r="H34" s="49">
        <f>'Non-Irrigated Base'!J21</f>
        <v>894</v>
      </c>
      <c r="I34" s="37"/>
      <c r="J34" s="37"/>
      <c r="K34" s="6"/>
      <c r="L34" s="7" t="s">
        <v>364</v>
      </c>
      <c r="M34" s="7"/>
      <c r="N34" s="7"/>
      <c r="O34" s="7"/>
      <c r="P34" s="7"/>
    </row>
    <row r="35" spans="5:16" ht="18.75" x14ac:dyDescent="0.3">
      <c r="E35" s="10" t="s">
        <v>410</v>
      </c>
      <c r="F35" s="50">
        <f>H4</f>
        <v>0.42649999999999999</v>
      </c>
      <c r="G35" s="28">
        <f>G36/N32</f>
        <v>0.76939423076923075</v>
      </c>
      <c r="H35" s="42"/>
      <c r="I35" s="37"/>
      <c r="J35" s="37"/>
      <c r="K35" s="6"/>
      <c r="L35" s="7" t="s">
        <v>365</v>
      </c>
      <c r="M35" s="7"/>
      <c r="N35" s="7"/>
      <c r="O35" s="7"/>
      <c r="P35" s="7"/>
    </row>
    <row r="36" spans="5:16" ht="18.75" x14ac:dyDescent="0.3">
      <c r="E36" s="10" t="s">
        <v>409</v>
      </c>
      <c r="F36" s="28">
        <f>M32*F35</f>
        <v>93.83</v>
      </c>
      <c r="G36" s="28">
        <f>H34-F36</f>
        <v>800.17</v>
      </c>
      <c r="H36" s="28">
        <f>SUM(F36:G36)</f>
        <v>894</v>
      </c>
      <c r="I36" s="57">
        <f>H36/2000</f>
        <v>0.44700000000000001</v>
      </c>
      <c r="J36" s="42"/>
      <c r="K36" s="6"/>
      <c r="L36" s="7"/>
      <c r="M36" s="7"/>
      <c r="N36" s="7"/>
      <c r="O36" s="7"/>
      <c r="P36" s="7"/>
    </row>
    <row r="37" spans="5:16" ht="18.75" x14ac:dyDescent="0.3">
      <c r="E37" s="6"/>
      <c r="F37" s="8"/>
      <c r="G37" s="8"/>
      <c r="H37" s="8"/>
      <c r="I37" s="8"/>
      <c r="J37" s="8"/>
      <c r="K37" s="6"/>
      <c r="L37" s="7"/>
      <c r="M37" s="7"/>
      <c r="N37" s="7"/>
      <c r="O37" s="7"/>
      <c r="P37" s="7"/>
    </row>
    <row r="38" spans="5:16" ht="18.75" x14ac:dyDescent="0.3">
      <c r="E38" s="6"/>
      <c r="F38" s="8"/>
      <c r="G38" s="8"/>
      <c r="H38" s="8"/>
      <c r="I38" s="8"/>
      <c r="J38" s="8"/>
      <c r="K38" s="6"/>
      <c r="L38" s="7"/>
      <c r="M38" s="7"/>
      <c r="N38" s="7"/>
      <c r="O38" s="7"/>
      <c r="P38" s="7"/>
    </row>
    <row r="39" spans="5:16" ht="18.75" x14ac:dyDescent="0.3">
      <c r="E39" s="277" t="s">
        <v>417</v>
      </c>
      <c r="F39" s="278"/>
      <c r="G39" s="278"/>
      <c r="H39" s="278"/>
      <c r="I39" s="278"/>
      <c r="J39" s="279"/>
      <c r="K39" s="6"/>
      <c r="L39" s="7"/>
      <c r="M39" s="7"/>
      <c r="N39" s="7"/>
      <c r="O39" s="7"/>
      <c r="P39" s="7"/>
    </row>
    <row r="40" spans="5:16" ht="18.75" x14ac:dyDescent="0.3">
      <c r="E40" s="10"/>
      <c r="F40" s="37" t="s">
        <v>51</v>
      </c>
      <c r="G40" s="37" t="s">
        <v>53</v>
      </c>
      <c r="H40" s="37" t="s">
        <v>416</v>
      </c>
      <c r="I40" s="37"/>
      <c r="J40" s="37"/>
      <c r="K40" s="6"/>
      <c r="L40" s="7"/>
      <c r="M40" s="8">
        <f>2000*(F41/100)</f>
        <v>420</v>
      </c>
      <c r="N40" s="8">
        <f>2000*(G41/100)</f>
        <v>480</v>
      </c>
      <c r="O40" s="7"/>
      <c r="P40" s="7"/>
    </row>
    <row r="41" spans="5:16" ht="18.75" x14ac:dyDescent="0.3">
      <c r="E41" s="10" t="s">
        <v>490</v>
      </c>
      <c r="F41" s="48">
        <f>F11*100</f>
        <v>21</v>
      </c>
      <c r="G41" s="48">
        <f>F20*100</f>
        <v>24</v>
      </c>
      <c r="H41" s="49">
        <f>'Non-Irrigated Base'!J25</f>
        <v>675</v>
      </c>
      <c r="I41" s="37"/>
      <c r="J41" s="37"/>
      <c r="K41" s="6"/>
      <c r="L41" s="7"/>
      <c r="M41" s="53">
        <f>M40/(M40+N40)</f>
        <v>0.46666666666666667</v>
      </c>
      <c r="N41" s="53">
        <f>N40/(M40+N40)</f>
        <v>0.53333333333333333</v>
      </c>
      <c r="O41" s="7"/>
      <c r="P41" s="7"/>
    </row>
    <row r="42" spans="5:16" ht="18.75" x14ac:dyDescent="0.3">
      <c r="E42" s="10" t="s">
        <v>410</v>
      </c>
      <c r="F42" s="50">
        <f>H4</f>
        <v>0.42649999999999999</v>
      </c>
      <c r="G42" s="27">
        <f>G43/N40</f>
        <v>1.0330625</v>
      </c>
      <c r="H42" s="43"/>
      <c r="I42" s="37"/>
      <c r="J42" s="37"/>
      <c r="K42" s="6"/>
      <c r="L42" s="7" t="s">
        <v>364</v>
      </c>
      <c r="M42" s="7"/>
      <c r="N42" s="7"/>
      <c r="O42" s="7"/>
      <c r="P42" s="7"/>
    </row>
    <row r="43" spans="5:16" ht="18.75" x14ac:dyDescent="0.3">
      <c r="E43" s="10" t="s">
        <v>409</v>
      </c>
      <c r="F43" s="28">
        <f>M40*F42</f>
        <v>179.13</v>
      </c>
      <c r="G43" s="28">
        <f>H41-F43</f>
        <v>495.87</v>
      </c>
      <c r="H43" s="28">
        <f>SUM(F43:G43)</f>
        <v>675</v>
      </c>
      <c r="I43" s="42"/>
      <c r="J43" s="42"/>
      <c r="K43" s="6"/>
      <c r="L43" s="7" t="s">
        <v>365</v>
      </c>
      <c r="M43" s="7"/>
      <c r="N43" s="7"/>
      <c r="O43" s="7"/>
      <c r="P43" s="7"/>
    </row>
    <row r="44" spans="5:16" ht="18.75" x14ac:dyDescent="0.3">
      <c r="E44" s="7"/>
      <c r="F44" s="44"/>
      <c r="G44" s="44"/>
      <c r="H44" s="44"/>
      <c r="I44" s="44"/>
      <c r="J44" s="44"/>
      <c r="K44" s="6"/>
      <c r="L44" s="7"/>
      <c r="M44" s="7"/>
      <c r="N44" s="7"/>
    </row>
    <row r="45" spans="5:16" ht="18.75" x14ac:dyDescent="0.3">
      <c r="E45" s="10"/>
      <c r="F45" s="37" t="s">
        <v>51</v>
      </c>
      <c r="G45" s="37" t="s">
        <v>53</v>
      </c>
      <c r="H45" s="37" t="s">
        <v>416</v>
      </c>
      <c r="I45" s="37"/>
      <c r="J45" s="37"/>
      <c r="K45" s="6"/>
      <c r="L45" s="7"/>
      <c r="M45" s="8">
        <f>2000*(F46/100)</f>
        <v>240</v>
      </c>
      <c r="N45" s="8">
        <f>2000*(G46/100)</f>
        <v>520</v>
      </c>
    </row>
    <row r="46" spans="5:16" ht="18.75" x14ac:dyDescent="0.3">
      <c r="E46" s="10" t="s">
        <v>491</v>
      </c>
      <c r="F46" s="48">
        <v>12</v>
      </c>
      <c r="G46" s="48">
        <v>26</v>
      </c>
      <c r="H46" s="49">
        <f>'Non-Irrigated Base'!J18</f>
        <v>550</v>
      </c>
      <c r="I46" s="37"/>
      <c r="J46" s="37"/>
      <c r="K46" s="6"/>
      <c r="L46" s="7"/>
      <c r="M46" s="53">
        <f>M45/(M45+N45)</f>
        <v>0.31578947368421051</v>
      </c>
      <c r="N46" s="53">
        <f>N45/(M45+N45)</f>
        <v>0.68421052631578949</v>
      </c>
    </row>
    <row r="47" spans="5:16" ht="18.75" x14ac:dyDescent="0.3">
      <c r="E47" s="10" t="s">
        <v>410</v>
      </c>
      <c r="F47" s="50">
        <f>H11</f>
        <v>0.19192499999999998</v>
      </c>
      <c r="G47" s="51">
        <f>G48/N45</f>
        <v>0.96911153846153841</v>
      </c>
      <c r="H47" s="43"/>
      <c r="I47" s="37"/>
      <c r="J47" s="37"/>
      <c r="K47" s="6"/>
      <c r="L47" s="7" t="s">
        <v>364</v>
      </c>
      <c r="M47" s="7"/>
      <c r="N47" s="7"/>
    </row>
    <row r="48" spans="5:16" ht="18.75" x14ac:dyDescent="0.3">
      <c r="E48" s="10" t="s">
        <v>409</v>
      </c>
      <c r="F48" s="28">
        <f>M45*F47</f>
        <v>46.061999999999998</v>
      </c>
      <c r="G48" s="28">
        <f>H46-F48</f>
        <v>503.93799999999999</v>
      </c>
      <c r="H48" s="28">
        <f>SUM(F48:G48)</f>
        <v>550</v>
      </c>
      <c r="I48" s="42"/>
      <c r="J48" s="42"/>
      <c r="K48" s="6"/>
      <c r="L48" s="7" t="s">
        <v>365</v>
      </c>
    </row>
  </sheetData>
  <mergeCells count="2">
    <mergeCell ref="E27:J27"/>
    <mergeCell ref="E39:J3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83189-927F-4F9F-B3C8-EE303994887B}">
  <dimension ref="E2:S48"/>
  <sheetViews>
    <sheetView workbookViewId="0">
      <selection activeCell="J30" sqref="J30"/>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408</v>
      </c>
      <c r="G2" s="37" t="s">
        <v>409</v>
      </c>
      <c r="H2" s="37" t="s">
        <v>429</v>
      </c>
      <c r="I2" s="37" t="s">
        <v>411</v>
      </c>
      <c r="J2" s="37" t="s">
        <v>404</v>
      </c>
      <c r="K2" s="6"/>
      <c r="L2" s="7"/>
      <c r="M2" s="7"/>
      <c r="N2" s="7"/>
      <c r="O2" s="7"/>
      <c r="P2" s="7"/>
    </row>
    <row r="3" spans="5:19" ht="18.75" x14ac:dyDescent="0.3">
      <c r="E3" s="10"/>
      <c r="F3" s="38" t="s">
        <v>60</v>
      </c>
      <c r="G3" s="38" t="s">
        <v>60</v>
      </c>
      <c r="H3" s="54" t="s">
        <v>430</v>
      </c>
      <c r="I3" s="38" t="s">
        <v>60</v>
      </c>
      <c r="J3" s="37"/>
      <c r="K3" s="2"/>
      <c r="L3" s="10"/>
      <c r="M3" s="10"/>
      <c r="N3" s="10"/>
      <c r="O3" s="10"/>
      <c r="P3" s="10"/>
    </row>
    <row r="4" spans="5:19" ht="18.75" x14ac:dyDescent="0.3">
      <c r="E4" s="10" t="s">
        <v>419</v>
      </c>
      <c r="F4" s="48">
        <v>0.46</v>
      </c>
      <c r="G4" s="50">
        <f>'Irrigated Base'!J19</f>
        <v>853</v>
      </c>
      <c r="H4" s="39">
        <f>G4/2000</f>
        <v>0.42649999999999999</v>
      </c>
      <c r="I4" s="48">
        <f>'Irrigated Base'!L19</f>
        <v>0</v>
      </c>
      <c r="J4" s="39">
        <f>I4*H4</f>
        <v>0</v>
      </c>
      <c r="K4" s="6"/>
      <c r="L4" s="2">
        <f>2000*F4</f>
        <v>920</v>
      </c>
      <c r="M4" s="7"/>
      <c r="N4" s="7"/>
      <c r="O4" s="10"/>
      <c r="P4" s="42" t="s">
        <v>484</v>
      </c>
      <c r="Q4" s="42" t="s">
        <v>52</v>
      </c>
      <c r="R4" s="42" t="s">
        <v>442</v>
      </c>
      <c r="S4" s="42" t="s">
        <v>53</v>
      </c>
    </row>
    <row r="5" spans="5:19" ht="18.75" x14ac:dyDescent="0.3">
      <c r="E5" s="10" t="s">
        <v>420</v>
      </c>
      <c r="F5" s="48">
        <v>0.28000000000000003</v>
      </c>
      <c r="G5" s="50">
        <f>'Irrigated Base'!J16</f>
        <v>513</v>
      </c>
      <c r="H5" s="39"/>
      <c r="I5" s="48">
        <f>'Irrigated Base'!L16</f>
        <v>51.5</v>
      </c>
      <c r="J5" s="39">
        <f>L5*'Irrigated Base'!L16*G5</f>
        <v>140.94803250000001</v>
      </c>
      <c r="K5" s="6"/>
      <c r="L5" s="2">
        <f>10.67/2000</f>
        <v>5.3350000000000003E-3</v>
      </c>
      <c r="M5" s="7"/>
      <c r="N5" s="7"/>
      <c r="O5" s="10"/>
      <c r="P5" s="56">
        <f>(I5*10.67*F5)+(I4*F4)+(I11*F11)+(F7*11.04*I7)+(I9*F9)+(I10*F10)+(I8*11.7*F8)+(I6*F6)</f>
        <v>190.76139999999998</v>
      </c>
      <c r="Q5" s="42">
        <f>(I15*F15)+(F16*I16)+(F14*11.7*I14)</f>
        <v>75.09</v>
      </c>
      <c r="R5" s="42">
        <f>(I17*F17)+(F18*I18)</f>
        <v>43.199999999999996</v>
      </c>
      <c r="S5" s="42">
        <f>(I20*F20)+(F19*11.04*I19)+(F21*I21)</f>
        <v>10.799999999999999</v>
      </c>
    </row>
    <row r="6" spans="5:19" ht="18.75" x14ac:dyDescent="0.3">
      <c r="E6" s="10" t="s">
        <v>577</v>
      </c>
      <c r="F6" s="48">
        <v>0.82</v>
      </c>
      <c r="G6" s="50">
        <f>'Irrigated Base'!J17</f>
        <v>1100</v>
      </c>
      <c r="H6" s="39">
        <f>G6/2000</f>
        <v>0.55000000000000004</v>
      </c>
      <c r="I6" s="48">
        <f>'Irrigated Base'!L17</f>
        <v>0</v>
      </c>
      <c r="J6" s="39">
        <f>I6*H6</f>
        <v>0</v>
      </c>
      <c r="K6" s="6"/>
      <c r="L6" s="2">
        <f>2000*F6</f>
        <v>1640</v>
      </c>
      <c r="M6" s="7"/>
      <c r="N6" s="7"/>
      <c r="O6" s="10"/>
      <c r="P6" s="56"/>
      <c r="Q6" s="42"/>
      <c r="R6" s="42"/>
      <c r="S6" s="42"/>
    </row>
    <row r="7" spans="5:19" ht="18.75" x14ac:dyDescent="0.3">
      <c r="E7" s="10" t="s">
        <v>448</v>
      </c>
      <c r="F7" s="48">
        <v>0.12</v>
      </c>
      <c r="G7" s="50">
        <f>'Irrigated Base'!J18</f>
        <v>550</v>
      </c>
      <c r="H7" s="39">
        <f>G7/(2000*M46)</f>
        <v>0.87083333333333335</v>
      </c>
      <c r="I7" s="52">
        <f>'Irrigated Base'!L18</f>
        <v>0</v>
      </c>
      <c r="J7" s="39">
        <f>L7*'Irrigated Base'!L18*G7</f>
        <v>0</v>
      </c>
      <c r="K7" s="6"/>
      <c r="L7" s="2">
        <f>11.04/2000</f>
        <v>5.5199999999999997E-3</v>
      </c>
      <c r="M7" s="7"/>
      <c r="N7" s="7"/>
      <c r="O7" s="10"/>
      <c r="P7" s="56"/>
      <c r="Q7" s="7"/>
      <c r="R7" s="7"/>
      <c r="S7" s="7"/>
    </row>
    <row r="8" spans="5:19" ht="18.75" x14ac:dyDescent="0.3">
      <c r="E8" s="10" t="s">
        <v>485</v>
      </c>
      <c r="F8" s="48">
        <v>0.1</v>
      </c>
      <c r="G8" s="50">
        <f>'Irrigated Base'!J22</f>
        <v>700</v>
      </c>
      <c r="H8" s="39"/>
      <c r="I8" s="48">
        <f>'Irrigated Base'!L22</f>
        <v>5</v>
      </c>
      <c r="J8" s="39">
        <f>L8*'Irrigated Base'!L22*G8</f>
        <v>20.474999999999998</v>
      </c>
      <c r="K8" s="6"/>
      <c r="L8" s="2">
        <f>11.7/2000</f>
        <v>5.8499999999999993E-3</v>
      </c>
      <c r="M8" s="10"/>
      <c r="N8" s="10"/>
      <c r="O8" s="10"/>
      <c r="P8" s="10"/>
    </row>
    <row r="9" spans="5:19" ht="18.75" x14ac:dyDescent="0.3">
      <c r="E9" s="10" t="s">
        <v>422</v>
      </c>
      <c r="F9" s="48">
        <v>0.18</v>
      </c>
      <c r="G9" s="50">
        <f>F31</f>
        <v>153.54</v>
      </c>
      <c r="H9" s="39">
        <f>I31</f>
        <v>0.42849999999999999</v>
      </c>
      <c r="I9" s="48">
        <f>'Irrigated Base'!L20</f>
        <v>120</v>
      </c>
      <c r="J9" s="40">
        <f>I9*H9*M28</f>
        <v>14.461875000000001</v>
      </c>
      <c r="K9" s="6"/>
      <c r="L9" s="2">
        <f>2000*F15</f>
        <v>920</v>
      </c>
      <c r="M9" s="10"/>
      <c r="N9" s="10"/>
      <c r="O9" s="10"/>
      <c r="P9" s="10"/>
    </row>
    <row r="10" spans="5:19" ht="18.75" x14ac:dyDescent="0.3">
      <c r="E10" s="10" t="s">
        <v>423</v>
      </c>
      <c r="F10" s="48">
        <v>0.11</v>
      </c>
      <c r="G10" s="50">
        <f>F36</f>
        <v>93.83</v>
      </c>
      <c r="H10" s="39">
        <f>I36</f>
        <v>0.44700000000000001</v>
      </c>
      <c r="I10" s="48">
        <f>'Irrigated Base'!L21</f>
        <v>0</v>
      </c>
      <c r="J10" s="40">
        <f>I10*H10*M33</f>
        <v>0</v>
      </c>
      <c r="K10" s="6"/>
      <c r="L10" s="2">
        <f>2000*F16</f>
        <v>1040</v>
      </c>
      <c r="M10" s="10"/>
      <c r="N10" s="10"/>
      <c r="O10" s="10"/>
      <c r="P10" s="10"/>
    </row>
    <row r="11" spans="5:19" ht="18.75" x14ac:dyDescent="0.3">
      <c r="E11" s="10" t="s">
        <v>412</v>
      </c>
      <c r="F11" s="48">
        <v>0.21</v>
      </c>
      <c r="G11" s="50">
        <f>F43</f>
        <v>179.13</v>
      </c>
      <c r="H11" s="39">
        <f>G11/(2000*M41)</f>
        <v>0.19192499999999998</v>
      </c>
      <c r="I11" s="52">
        <f>'Irrigated Base'!L25</f>
        <v>45</v>
      </c>
      <c r="J11" s="41">
        <f>I11*H11*M41</f>
        <v>4.0304249999999993</v>
      </c>
      <c r="K11" s="6"/>
      <c r="L11" s="2">
        <f>2000*F11</f>
        <v>420</v>
      </c>
      <c r="M11" s="10"/>
      <c r="N11" s="10"/>
      <c r="O11" s="10"/>
      <c r="P11" s="10"/>
    </row>
    <row r="12" spans="5:19" ht="18.75" x14ac:dyDescent="0.3">
      <c r="E12" s="10"/>
      <c r="F12" s="51"/>
      <c r="G12" s="51"/>
      <c r="H12" s="37"/>
      <c r="I12" s="51"/>
      <c r="J12" s="39">
        <f>SUM(J4:J11)</f>
        <v>179.91533250000001</v>
      </c>
      <c r="K12" s="6"/>
      <c r="L12" s="2"/>
      <c r="M12" s="10"/>
      <c r="N12" s="10"/>
      <c r="O12" s="10"/>
      <c r="P12" s="10"/>
    </row>
    <row r="13" spans="5:19" ht="18.75" x14ac:dyDescent="0.3">
      <c r="E13" s="10"/>
      <c r="F13" s="51"/>
      <c r="G13" s="51"/>
      <c r="H13" s="37"/>
      <c r="I13" s="51"/>
      <c r="J13" s="39"/>
      <c r="K13" s="6"/>
      <c r="L13" s="2"/>
      <c r="M13" s="10"/>
      <c r="N13" s="10"/>
      <c r="O13" s="10"/>
      <c r="P13" s="10"/>
    </row>
    <row r="14" spans="5:19" ht="18.75" x14ac:dyDescent="0.3">
      <c r="E14" s="10" t="s">
        <v>486</v>
      </c>
      <c r="F14" s="48">
        <v>0.34</v>
      </c>
      <c r="G14" s="50">
        <f>'Irrigated Base'!J22</f>
        <v>700</v>
      </c>
      <c r="H14" s="39"/>
      <c r="I14" s="48">
        <f>'Irrigated Base'!L22</f>
        <v>5</v>
      </c>
      <c r="J14" s="39">
        <f>L14*'Irrigated Base'!L22*G14</f>
        <v>20.474999999999998</v>
      </c>
      <c r="K14" s="6"/>
      <c r="L14" s="2">
        <f>11.7/2000</f>
        <v>5.8499999999999993E-3</v>
      </c>
      <c r="M14" s="10"/>
      <c r="N14" s="10"/>
      <c r="O14" s="10"/>
      <c r="P14" s="10"/>
    </row>
    <row r="15" spans="5:19" ht="18.75" x14ac:dyDescent="0.3">
      <c r="E15" s="10" t="s">
        <v>421</v>
      </c>
      <c r="F15" s="48">
        <v>0.46</v>
      </c>
      <c r="G15" s="50">
        <f>G31</f>
        <v>703.46</v>
      </c>
      <c r="H15" s="39">
        <f>I31</f>
        <v>0.42849999999999999</v>
      </c>
      <c r="I15" s="48">
        <f>'Irrigated Base'!L20</f>
        <v>120</v>
      </c>
      <c r="J15" s="39">
        <f>I15*H15*N28</f>
        <v>36.958125000000003</v>
      </c>
      <c r="K15" s="6"/>
      <c r="L15" s="2">
        <f>2000*F9</f>
        <v>360</v>
      </c>
      <c r="M15" s="10"/>
      <c r="N15" s="10"/>
      <c r="O15" s="10"/>
      <c r="P15" s="10"/>
    </row>
    <row r="16" spans="5:19" ht="18.75" x14ac:dyDescent="0.3">
      <c r="E16" s="10" t="s">
        <v>428</v>
      </c>
      <c r="F16" s="48">
        <v>0.52</v>
      </c>
      <c r="G16" s="50">
        <f>G36</f>
        <v>800.17</v>
      </c>
      <c r="H16" s="39">
        <f>I36</f>
        <v>0.44700000000000001</v>
      </c>
      <c r="I16" s="48">
        <f>'Irrigated Base'!L21</f>
        <v>0</v>
      </c>
      <c r="J16" s="39">
        <f>I16*H16*N33</f>
        <v>0</v>
      </c>
      <c r="K16" s="6"/>
      <c r="L16" s="2">
        <f>2000*F11</f>
        <v>420</v>
      </c>
      <c r="M16" s="10"/>
      <c r="N16" s="10"/>
      <c r="O16" s="10"/>
      <c r="P16" s="10"/>
    </row>
    <row r="17" spans="5:16" ht="18.75" x14ac:dyDescent="0.3">
      <c r="E17" s="10" t="s">
        <v>413</v>
      </c>
      <c r="F17" s="52">
        <v>0.6</v>
      </c>
      <c r="G17" s="50">
        <f>'Irrigated Base'!J23</f>
        <v>503</v>
      </c>
      <c r="H17" s="39">
        <f>G17/2000</f>
        <v>0.2515</v>
      </c>
      <c r="I17" s="48">
        <f>'Irrigated Base'!L23</f>
        <v>72</v>
      </c>
      <c r="J17" s="40">
        <f>I17*H17</f>
        <v>18.108000000000001</v>
      </c>
      <c r="K17" s="6"/>
      <c r="L17" s="2">
        <f>2000*F17</f>
        <v>1200</v>
      </c>
      <c r="M17" s="10"/>
      <c r="N17" s="10"/>
      <c r="O17" s="10"/>
      <c r="P17" s="10"/>
    </row>
    <row r="18" spans="5:16" ht="18.75" x14ac:dyDescent="0.3">
      <c r="E18" s="10" t="s">
        <v>487</v>
      </c>
      <c r="F18" s="52">
        <v>0.22</v>
      </c>
      <c r="G18" s="50">
        <f>'Irrigated Base'!J24</f>
        <v>0</v>
      </c>
      <c r="H18" s="39">
        <f>G18/2000</f>
        <v>0</v>
      </c>
      <c r="I18" s="48">
        <f>'Irrigated Base'!L24</f>
        <v>0</v>
      </c>
      <c r="J18" s="40">
        <f>I18*H18</f>
        <v>0</v>
      </c>
      <c r="K18" s="6"/>
      <c r="L18" s="2">
        <f>2000*F18</f>
        <v>440</v>
      </c>
      <c r="M18" s="10"/>
      <c r="N18" s="10"/>
      <c r="O18" s="10"/>
      <c r="P18" s="10"/>
    </row>
    <row r="19" spans="5:16" ht="18.75" x14ac:dyDescent="0.3">
      <c r="E19" s="10" t="s">
        <v>450</v>
      </c>
      <c r="F19" s="48">
        <v>0.26</v>
      </c>
      <c r="G19" s="50">
        <f>G48</f>
        <v>503.93799999999999</v>
      </c>
      <c r="H19" s="39">
        <f>G19/(2000*N45)</f>
        <v>4.8455576923076921E-4</v>
      </c>
      <c r="I19" s="52">
        <f>'Irrigated Base'!L18</f>
        <v>0</v>
      </c>
      <c r="J19" s="46">
        <f>I19*H19*N40</f>
        <v>0</v>
      </c>
      <c r="K19" s="6"/>
      <c r="L19" s="2">
        <f>2000*F19</f>
        <v>520</v>
      </c>
      <c r="M19" s="10"/>
      <c r="N19" s="10"/>
      <c r="O19" s="10"/>
      <c r="P19" s="10"/>
    </row>
    <row r="20" spans="5:16" ht="18.75" x14ac:dyDescent="0.3">
      <c r="E20" s="10" t="s">
        <v>449</v>
      </c>
      <c r="F20" s="48">
        <v>0.24</v>
      </c>
      <c r="G20" s="50">
        <f>G43</f>
        <v>495.87</v>
      </c>
      <c r="H20" s="39">
        <f>G20/(2000*N41)</f>
        <v>0.46487812499999998</v>
      </c>
      <c r="I20" s="52">
        <f>'Irrigated Base'!L25</f>
        <v>45</v>
      </c>
      <c r="J20" s="46">
        <f>I20*H20*N41</f>
        <v>11.157074999999999</v>
      </c>
      <c r="K20" s="6"/>
      <c r="L20" s="2">
        <f>2000*F20</f>
        <v>480</v>
      </c>
      <c r="M20" s="10"/>
      <c r="N20" s="10"/>
      <c r="O20" s="10"/>
      <c r="P20" s="10"/>
    </row>
    <row r="21" spans="5:16" ht="18.75" x14ac:dyDescent="0.3">
      <c r="E21" s="10" t="s">
        <v>489</v>
      </c>
      <c r="F21" s="43">
        <v>0.17</v>
      </c>
      <c r="G21" s="50">
        <f>'Irrigated Base'!J26</f>
        <v>0</v>
      </c>
      <c r="H21" s="39">
        <f>G21/2000</f>
        <v>0</v>
      </c>
      <c r="I21" s="64">
        <f>'Irrigated Base'!L26</f>
        <v>0</v>
      </c>
      <c r="J21" s="40">
        <f>I21*H21</f>
        <v>0</v>
      </c>
      <c r="K21" s="6"/>
      <c r="L21" s="2">
        <f>2000*F21</f>
        <v>340</v>
      </c>
      <c r="M21" s="10"/>
      <c r="N21" s="10"/>
      <c r="O21" s="10"/>
      <c r="P21" s="10"/>
    </row>
    <row r="22" spans="5:16" ht="18.75" x14ac:dyDescent="0.3">
      <c r="E22" s="10"/>
      <c r="F22" s="37"/>
      <c r="G22" s="37"/>
      <c r="H22" s="37"/>
      <c r="I22" s="37"/>
      <c r="J22" s="39">
        <f>SUM(J14:J21)</f>
        <v>86.698200000000014</v>
      </c>
      <c r="K22" s="2"/>
      <c r="L22" s="10"/>
      <c r="M22" s="10"/>
      <c r="N22" s="10"/>
      <c r="O22" s="8"/>
      <c r="P22" s="8">
        <f>SUM(M27:N27)</f>
        <v>1280</v>
      </c>
    </row>
    <row r="23" spans="5:16" ht="18.75" x14ac:dyDescent="0.3">
      <c r="E23" s="10"/>
      <c r="F23" s="37"/>
      <c r="G23" s="37"/>
      <c r="H23" s="37"/>
      <c r="I23" s="8"/>
      <c r="J23" s="8"/>
      <c r="K23" s="2"/>
      <c r="L23" s="10"/>
      <c r="M23" s="10"/>
      <c r="N23" s="10"/>
      <c r="O23" s="8"/>
      <c r="P23" s="8">
        <f>SUM(M28:N28)</f>
        <v>1</v>
      </c>
    </row>
    <row r="24" spans="5:16" ht="18.75" x14ac:dyDescent="0.3">
      <c r="E24" s="10"/>
      <c r="F24" s="42"/>
      <c r="G24" s="42"/>
      <c r="H24" s="37"/>
      <c r="I24" s="43" t="s">
        <v>414</v>
      </c>
      <c r="J24" s="47">
        <f>J12+J22</f>
        <v>266.61353250000002</v>
      </c>
      <c r="K24" s="2"/>
      <c r="L24" s="10"/>
      <c r="M24" s="7"/>
      <c r="N24" s="7"/>
      <c r="O24" s="7"/>
      <c r="P24" s="7"/>
    </row>
    <row r="25" spans="5:16" ht="18.75" x14ac:dyDescent="0.3">
      <c r="E25" s="10"/>
      <c r="F25" s="37"/>
      <c r="G25" s="37"/>
      <c r="H25" s="37"/>
      <c r="I25" s="37"/>
      <c r="J25" s="37"/>
      <c r="K25" s="6"/>
      <c r="L25" s="7"/>
      <c r="M25" s="7"/>
      <c r="N25" s="7"/>
      <c r="O25" s="7"/>
      <c r="P25" s="7"/>
    </row>
    <row r="26" spans="5:16" ht="18.75" x14ac:dyDescent="0.3">
      <c r="E26" s="10"/>
      <c r="F26" s="37"/>
      <c r="G26" s="37"/>
      <c r="H26" s="37"/>
      <c r="I26" s="37"/>
      <c r="J26" s="37"/>
      <c r="K26" s="6"/>
      <c r="L26" s="7"/>
      <c r="M26" s="7"/>
      <c r="N26" s="7"/>
      <c r="O26" s="7"/>
      <c r="P26" s="7"/>
    </row>
    <row r="27" spans="5:16" ht="18.75" x14ac:dyDescent="0.3">
      <c r="E27" s="277" t="s">
        <v>415</v>
      </c>
      <c r="F27" s="278"/>
      <c r="G27" s="278"/>
      <c r="H27" s="278"/>
      <c r="I27" s="278"/>
      <c r="J27" s="279"/>
      <c r="K27" s="6"/>
      <c r="L27" s="7"/>
      <c r="M27" s="8">
        <f>2000*(F29/100)</f>
        <v>360</v>
      </c>
      <c r="N27" s="8">
        <f>2000*(G29/100)</f>
        <v>920</v>
      </c>
      <c r="O27" s="7"/>
      <c r="P27" s="7"/>
    </row>
    <row r="28" spans="5:16" ht="18.75" x14ac:dyDescent="0.3">
      <c r="E28" s="10"/>
      <c r="F28" s="37" t="s">
        <v>51</v>
      </c>
      <c r="G28" s="37" t="s">
        <v>52</v>
      </c>
      <c r="H28" s="37" t="s">
        <v>416</v>
      </c>
      <c r="I28" s="37"/>
      <c r="J28" s="37"/>
      <c r="K28" s="6"/>
      <c r="L28" s="7"/>
      <c r="M28" s="53">
        <f>M27/(M27+N27)</f>
        <v>0.28125</v>
      </c>
      <c r="N28" s="53">
        <f>N27/(M27+N27)</f>
        <v>0.71875</v>
      </c>
      <c r="O28" s="7"/>
      <c r="P28" s="7"/>
    </row>
    <row r="29" spans="5:16" ht="18.75" x14ac:dyDescent="0.3">
      <c r="E29" s="10"/>
      <c r="F29" s="48">
        <f>F9*100</f>
        <v>18</v>
      </c>
      <c r="G29" s="48">
        <f>F15*100</f>
        <v>46</v>
      </c>
      <c r="H29" s="236">
        <f>'Irrigated Base'!J20</f>
        <v>857</v>
      </c>
      <c r="I29" s="37"/>
      <c r="J29" s="37"/>
      <c r="K29" s="6"/>
      <c r="L29" s="7" t="s">
        <v>364</v>
      </c>
      <c r="M29" s="7"/>
      <c r="N29" s="7"/>
      <c r="O29" s="7"/>
      <c r="P29" s="7"/>
    </row>
    <row r="30" spans="5:16" ht="18.75" x14ac:dyDescent="0.3">
      <c r="E30" s="10" t="s">
        <v>410</v>
      </c>
      <c r="F30" s="50">
        <f>H4</f>
        <v>0.42649999999999999</v>
      </c>
      <c r="G30" s="28">
        <f>G31/N27</f>
        <v>0.76463043478260873</v>
      </c>
      <c r="H30" s="42"/>
      <c r="I30" s="37"/>
      <c r="J30" s="37"/>
      <c r="K30" s="6"/>
      <c r="L30" s="7" t="s">
        <v>365</v>
      </c>
      <c r="M30" s="7"/>
      <c r="N30" s="7"/>
      <c r="O30" s="7"/>
      <c r="P30" s="7"/>
    </row>
    <row r="31" spans="5:16" ht="18.75" x14ac:dyDescent="0.3">
      <c r="E31" s="10" t="s">
        <v>409</v>
      </c>
      <c r="F31" s="28">
        <f>M27*F30</f>
        <v>153.54</v>
      </c>
      <c r="G31" s="28">
        <f>H29-F31</f>
        <v>703.46</v>
      </c>
      <c r="H31" s="28">
        <f>SUM(F31:G31)</f>
        <v>857</v>
      </c>
      <c r="I31" s="57">
        <f>H31/2000</f>
        <v>0.42849999999999999</v>
      </c>
      <c r="J31" s="42"/>
      <c r="K31" s="6"/>
      <c r="L31" s="7"/>
      <c r="M31" s="7"/>
      <c r="N31" s="7"/>
      <c r="O31" s="7"/>
      <c r="P31" s="7"/>
    </row>
    <row r="32" spans="5:16" ht="18.75" x14ac:dyDescent="0.3">
      <c r="E32" s="7"/>
      <c r="F32" s="44"/>
      <c r="G32" s="44"/>
      <c r="H32" s="44"/>
      <c r="I32" s="44"/>
      <c r="J32" s="44"/>
      <c r="K32" s="6"/>
      <c r="L32" s="7"/>
      <c r="M32" s="8">
        <f>2000*(F34/100)</f>
        <v>220</v>
      </c>
      <c r="N32" s="8">
        <f>2000*(G34/100)</f>
        <v>1040</v>
      </c>
      <c r="O32" s="7"/>
      <c r="P32" s="7"/>
    </row>
    <row r="33" spans="5:16" ht="18.75" x14ac:dyDescent="0.3">
      <c r="E33" s="10"/>
      <c r="F33" s="37" t="s">
        <v>51</v>
      </c>
      <c r="G33" s="37" t="s">
        <v>52</v>
      </c>
      <c r="H33" s="37" t="s">
        <v>416</v>
      </c>
      <c r="I33" s="37"/>
      <c r="J33" s="37"/>
      <c r="K33" s="6"/>
      <c r="L33" s="7"/>
      <c r="M33" s="53">
        <f>M32/(M32+N32)</f>
        <v>0.17460317460317459</v>
      </c>
      <c r="N33" s="53">
        <f>N32/(M32+N32)</f>
        <v>0.82539682539682535</v>
      </c>
      <c r="O33" s="7"/>
      <c r="P33" s="7"/>
    </row>
    <row r="34" spans="5:16" ht="18.75" x14ac:dyDescent="0.3">
      <c r="E34" s="10"/>
      <c r="F34" s="48">
        <f>F10*100</f>
        <v>11</v>
      </c>
      <c r="G34" s="48">
        <f>F16*100</f>
        <v>52</v>
      </c>
      <c r="H34" s="236">
        <f>'Irrigated Base'!J21</f>
        <v>894</v>
      </c>
      <c r="I34" s="37"/>
      <c r="J34" s="37"/>
      <c r="K34" s="6"/>
      <c r="L34" s="7" t="s">
        <v>364</v>
      </c>
      <c r="M34" s="7"/>
      <c r="N34" s="7"/>
      <c r="O34" s="7"/>
      <c r="P34" s="7"/>
    </row>
    <row r="35" spans="5:16" ht="18.75" x14ac:dyDescent="0.3">
      <c r="E35" s="10" t="s">
        <v>410</v>
      </c>
      <c r="F35" s="50">
        <f>H4</f>
        <v>0.42649999999999999</v>
      </c>
      <c r="G35" s="28">
        <f>G36/N32</f>
        <v>0.76939423076923075</v>
      </c>
      <c r="H35" s="42"/>
      <c r="I35" s="37"/>
      <c r="J35" s="37"/>
      <c r="K35" s="6"/>
      <c r="L35" s="7" t="s">
        <v>365</v>
      </c>
      <c r="M35" s="7"/>
      <c r="N35" s="7"/>
      <c r="O35" s="7"/>
      <c r="P35" s="7"/>
    </row>
    <row r="36" spans="5:16" ht="18.75" x14ac:dyDescent="0.3">
      <c r="E36" s="10" t="s">
        <v>409</v>
      </c>
      <c r="F36" s="28">
        <f>M32*F35</f>
        <v>93.83</v>
      </c>
      <c r="G36" s="28">
        <f>H34-F36</f>
        <v>800.17</v>
      </c>
      <c r="H36" s="28">
        <f>SUM(F36:G36)</f>
        <v>894</v>
      </c>
      <c r="I36" s="57">
        <f>H36/2000</f>
        <v>0.44700000000000001</v>
      </c>
      <c r="J36" s="42"/>
      <c r="K36" s="6"/>
      <c r="L36" s="7"/>
      <c r="M36" s="7"/>
      <c r="N36" s="7"/>
      <c r="O36" s="7"/>
      <c r="P36" s="7"/>
    </row>
    <row r="37" spans="5:16" ht="18.75" x14ac:dyDescent="0.3">
      <c r="E37" s="6"/>
      <c r="F37" s="8"/>
      <c r="G37" s="8"/>
      <c r="H37" s="8"/>
      <c r="I37" s="8"/>
      <c r="J37" s="8"/>
      <c r="K37" s="6"/>
      <c r="L37" s="7"/>
      <c r="M37" s="7"/>
      <c r="N37" s="7"/>
      <c r="O37" s="7"/>
      <c r="P37" s="7"/>
    </row>
    <row r="38" spans="5:16" ht="18.75" x14ac:dyDescent="0.3">
      <c r="E38" s="6"/>
      <c r="F38" s="8"/>
      <c r="G38" s="8"/>
      <c r="H38" s="8"/>
      <c r="I38" s="8"/>
      <c r="J38" s="8"/>
      <c r="K38" s="6"/>
      <c r="L38" s="7"/>
      <c r="M38" s="7"/>
      <c r="N38" s="7"/>
      <c r="O38" s="7"/>
      <c r="P38" s="7"/>
    </row>
    <row r="39" spans="5:16" ht="18.75" x14ac:dyDescent="0.3">
      <c r="E39" s="277" t="s">
        <v>417</v>
      </c>
      <c r="F39" s="278"/>
      <c r="G39" s="278"/>
      <c r="H39" s="278"/>
      <c r="I39" s="278"/>
      <c r="J39" s="279"/>
      <c r="K39" s="6"/>
      <c r="L39" s="7"/>
      <c r="M39" s="7"/>
      <c r="N39" s="7"/>
      <c r="O39" s="7"/>
      <c r="P39" s="7"/>
    </row>
    <row r="40" spans="5:16" ht="18.75" x14ac:dyDescent="0.3">
      <c r="E40" s="10"/>
      <c r="F40" s="37" t="s">
        <v>51</v>
      </c>
      <c r="G40" s="37" t="s">
        <v>53</v>
      </c>
      <c r="H40" s="37" t="s">
        <v>416</v>
      </c>
      <c r="I40" s="37"/>
      <c r="J40" s="37"/>
      <c r="K40" s="6"/>
      <c r="L40" s="7"/>
      <c r="M40" s="8">
        <f>2000*(F41/100)</f>
        <v>420</v>
      </c>
      <c r="N40" s="8">
        <f>2000*(G41/100)</f>
        <v>480</v>
      </c>
      <c r="O40" s="7"/>
      <c r="P40" s="7"/>
    </row>
    <row r="41" spans="5:16" ht="18.75" x14ac:dyDescent="0.3">
      <c r="E41" s="10" t="s">
        <v>490</v>
      </c>
      <c r="F41" s="48">
        <f>F11*100</f>
        <v>21</v>
      </c>
      <c r="G41" s="48">
        <f>F20*100</f>
        <v>24</v>
      </c>
      <c r="H41" s="236">
        <f>'Irrigated Base'!J25</f>
        <v>675</v>
      </c>
      <c r="I41" s="37"/>
      <c r="J41" s="37"/>
      <c r="K41" s="6"/>
      <c r="L41" s="7"/>
      <c r="M41" s="53">
        <f>M40/(M40+N40)</f>
        <v>0.46666666666666667</v>
      </c>
      <c r="N41" s="53">
        <f>N40/(M40+N40)</f>
        <v>0.53333333333333333</v>
      </c>
      <c r="O41" s="7"/>
      <c r="P41" s="7"/>
    </row>
    <row r="42" spans="5:16" ht="18.75" x14ac:dyDescent="0.3">
      <c r="E42" s="10" t="s">
        <v>410</v>
      </c>
      <c r="F42" s="50">
        <f>H4</f>
        <v>0.42649999999999999</v>
      </c>
      <c r="G42" s="27">
        <f>G43/N40</f>
        <v>1.0330625</v>
      </c>
      <c r="H42" s="43"/>
      <c r="I42" s="37"/>
      <c r="J42" s="37"/>
      <c r="K42" s="6"/>
      <c r="L42" s="7" t="s">
        <v>364</v>
      </c>
      <c r="M42" s="7"/>
      <c r="N42" s="7"/>
      <c r="O42" s="7"/>
      <c r="P42" s="7"/>
    </row>
    <row r="43" spans="5:16" ht="18.75" x14ac:dyDescent="0.3">
      <c r="E43" s="10" t="s">
        <v>409</v>
      </c>
      <c r="F43" s="28">
        <f>M40*F42</f>
        <v>179.13</v>
      </c>
      <c r="G43" s="28">
        <f>H41-F43</f>
        <v>495.87</v>
      </c>
      <c r="H43" s="28">
        <f>SUM(F43:G43)</f>
        <v>675</v>
      </c>
      <c r="I43" s="42"/>
      <c r="J43" s="42"/>
      <c r="K43" s="6"/>
      <c r="L43" s="7" t="s">
        <v>365</v>
      </c>
      <c r="M43" s="7"/>
      <c r="N43" s="7"/>
      <c r="O43" s="7"/>
      <c r="P43" s="7"/>
    </row>
    <row r="44" spans="5:16" ht="18.75" x14ac:dyDescent="0.3">
      <c r="E44" s="7"/>
      <c r="F44" s="44"/>
      <c r="G44" s="44"/>
      <c r="H44" s="44"/>
      <c r="I44" s="44"/>
      <c r="J44" s="44"/>
      <c r="K44" s="6"/>
      <c r="L44" s="7"/>
      <c r="M44" s="7"/>
      <c r="N44" s="7"/>
    </row>
    <row r="45" spans="5:16" ht="18.75" x14ac:dyDescent="0.3">
      <c r="E45" s="10"/>
      <c r="F45" s="37" t="s">
        <v>51</v>
      </c>
      <c r="G45" s="37" t="s">
        <v>53</v>
      </c>
      <c r="H45" s="37" t="s">
        <v>416</v>
      </c>
      <c r="I45" s="37"/>
      <c r="J45" s="37"/>
      <c r="K45" s="6"/>
      <c r="L45" s="7"/>
      <c r="M45" s="8">
        <f>2000*(F46/100)</f>
        <v>240</v>
      </c>
      <c r="N45" s="8">
        <f>2000*(G46/100)</f>
        <v>520</v>
      </c>
    </row>
    <row r="46" spans="5:16" ht="18.75" x14ac:dyDescent="0.3">
      <c r="E46" s="10" t="s">
        <v>491</v>
      </c>
      <c r="F46" s="48">
        <v>12</v>
      </c>
      <c r="G46" s="48">
        <v>26</v>
      </c>
      <c r="H46" s="236">
        <f>'Irrigated Base'!J18</f>
        <v>550</v>
      </c>
      <c r="I46" s="37"/>
      <c r="J46" s="37"/>
      <c r="K46" s="6"/>
      <c r="L46" s="7"/>
      <c r="M46" s="53">
        <f>M45/(M45+N45)</f>
        <v>0.31578947368421051</v>
      </c>
      <c r="N46" s="53">
        <f>N45/(M45+N45)</f>
        <v>0.68421052631578949</v>
      </c>
    </row>
    <row r="47" spans="5:16" ht="18.75" x14ac:dyDescent="0.3">
      <c r="E47" s="10" t="s">
        <v>410</v>
      </c>
      <c r="F47" s="50">
        <f>H11</f>
        <v>0.19192499999999998</v>
      </c>
      <c r="G47" s="51">
        <f>G48/N45</f>
        <v>0.96911153846153841</v>
      </c>
      <c r="H47" s="43"/>
      <c r="I47" s="37"/>
      <c r="J47" s="37"/>
      <c r="K47" s="6"/>
      <c r="L47" s="7" t="s">
        <v>364</v>
      </c>
      <c r="M47" s="7"/>
      <c r="N47" s="7"/>
    </row>
    <row r="48" spans="5:16" ht="18.75" x14ac:dyDescent="0.3">
      <c r="E48" s="10" t="s">
        <v>409</v>
      </c>
      <c r="F48" s="28">
        <f>M45*F47</f>
        <v>46.061999999999998</v>
      </c>
      <c r="G48" s="28">
        <f>H46-F48</f>
        <v>503.93799999999999</v>
      </c>
      <c r="H48" s="28">
        <f>SUM(F48:G48)</f>
        <v>550</v>
      </c>
      <c r="I48" s="42"/>
      <c r="J48" s="42"/>
      <c r="K48" s="6"/>
      <c r="L48" s="7" t="s">
        <v>365</v>
      </c>
    </row>
  </sheetData>
  <mergeCells count="2">
    <mergeCell ref="E27:J27"/>
    <mergeCell ref="E39:J3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9683E-4741-4EA3-9292-998D73772244}">
  <dimension ref="E2:S48"/>
  <sheetViews>
    <sheetView workbookViewId="0">
      <selection activeCell="N24" sqref="N24"/>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408</v>
      </c>
      <c r="G2" s="37" t="s">
        <v>409</v>
      </c>
      <c r="H2" s="37" t="s">
        <v>429</v>
      </c>
      <c r="I2" s="37" t="s">
        <v>411</v>
      </c>
      <c r="J2" s="37" t="s">
        <v>404</v>
      </c>
      <c r="K2" s="6"/>
      <c r="L2" s="7"/>
      <c r="M2" s="7"/>
      <c r="N2" s="7"/>
      <c r="O2" s="7"/>
      <c r="P2" s="7"/>
    </row>
    <row r="3" spans="5:19" ht="18.75" x14ac:dyDescent="0.3">
      <c r="E3" s="10"/>
      <c r="F3" s="38" t="s">
        <v>60</v>
      </c>
      <c r="G3" s="38" t="s">
        <v>60</v>
      </c>
      <c r="H3" s="54" t="s">
        <v>430</v>
      </c>
      <c r="I3" s="38" t="s">
        <v>60</v>
      </c>
      <c r="J3" s="37"/>
      <c r="K3" s="2"/>
      <c r="L3" s="10"/>
      <c r="M3" s="10"/>
      <c r="N3" s="10"/>
      <c r="O3" s="10"/>
      <c r="P3" s="10"/>
    </row>
    <row r="4" spans="5:19" ht="18.75" x14ac:dyDescent="0.3">
      <c r="E4" s="10" t="s">
        <v>419</v>
      </c>
      <c r="F4" s="48">
        <v>0.46</v>
      </c>
      <c r="G4" s="50">
        <f>'Non-Irrigated Build-Up'!J19</f>
        <v>853</v>
      </c>
      <c r="H4" s="39">
        <f>G4/2000</f>
        <v>0.42649999999999999</v>
      </c>
      <c r="I4" s="48">
        <f>'Non-Irrigated Build-Up'!L19</f>
        <v>0</v>
      </c>
      <c r="J4" s="39">
        <f>I4*H4</f>
        <v>0</v>
      </c>
      <c r="K4" s="6"/>
      <c r="L4" s="2">
        <f>2000*F4</f>
        <v>920</v>
      </c>
      <c r="M4" s="7"/>
      <c r="N4" s="7"/>
      <c r="O4" s="10"/>
      <c r="P4" s="42" t="s">
        <v>484</v>
      </c>
      <c r="Q4" s="42" t="s">
        <v>52</v>
      </c>
      <c r="R4" s="42" t="s">
        <v>442</v>
      </c>
      <c r="S4" s="42" t="s">
        <v>53</v>
      </c>
    </row>
    <row r="5" spans="5:19" ht="18.75" x14ac:dyDescent="0.3">
      <c r="E5" s="10" t="s">
        <v>420</v>
      </c>
      <c r="F5" s="48">
        <v>0.28000000000000003</v>
      </c>
      <c r="G5" s="50">
        <f>'Non-Irrigated Build-Up'!J16</f>
        <v>513</v>
      </c>
      <c r="H5" s="39"/>
      <c r="I5" s="48">
        <f>'Non-Irrigated Build-Up'!L16</f>
        <v>27.5</v>
      </c>
      <c r="J5" s="39">
        <f>L5*'Non-Irrigated Build-Up'!L16*G5</f>
        <v>75.263512500000004</v>
      </c>
      <c r="K5" s="6"/>
      <c r="L5" s="2">
        <f>10.67/2000</f>
        <v>5.3350000000000003E-3</v>
      </c>
      <c r="M5" s="7"/>
      <c r="N5" s="7"/>
      <c r="O5" s="10"/>
      <c r="P5" s="56">
        <f>(I5*10.67*F5)+(I4*F4)+(I11*F11)+(F7*11.04*I7)+(I9*F9)+(I10*F10)+(I8*11.7*F8)+(I6*F6)</f>
        <v>120.73899999999999</v>
      </c>
      <c r="Q5" s="42">
        <f>(I15*F15)+(F16*I16)+(F14*11.7*I14)</f>
        <v>84.75</v>
      </c>
      <c r="R5" s="42">
        <f>(I17*F17)+(F18*I18)</f>
        <v>64.8</v>
      </c>
      <c r="S5" s="42">
        <f>(I20*F20)+(F19*11.04*I19)+(F21*I21)</f>
        <v>8.4</v>
      </c>
    </row>
    <row r="6" spans="5:19" ht="18.75" x14ac:dyDescent="0.3">
      <c r="E6" s="10" t="s">
        <v>577</v>
      </c>
      <c r="F6" s="48">
        <v>0.82</v>
      </c>
      <c r="G6" s="50">
        <f>'Non-Irrigated Build-Up'!J17</f>
        <v>1100</v>
      </c>
      <c r="H6" s="39">
        <f>G6/2000</f>
        <v>0.55000000000000004</v>
      </c>
      <c r="I6" s="48">
        <f>'Non-Irrigated Build-Up'!L17</f>
        <v>0</v>
      </c>
      <c r="J6" s="39">
        <f>I6*H6</f>
        <v>0</v>
      </c>
      <c r="K6" s="6"/>
      <c r="L6" s="2">
        <f>2000*F6</f>
        <v>1640</v>
      </c>
      <c r="M6" s="7"/>
      <c r="N6" s="7"/>
      <c r="O6" s="10"/>
      <c r="P6" s="56"/>
      <c r="Q6" s="42"/>
      <c r="R6" s="42"/>
      <c r="S6" s="42"/>
    </row>
    <row r="7" spans="5:19" ht="18.75" x14ac:dyDescent="0.3">
      <c r="E7" s="10" t="s">
        <v>448</v>
      </c>
      <c r="F7" s="48">
        <v>0.12</v>
      </c>
      <c r="G7" s="50">
        <f>'Non-Irrigated Build-Up'!J18</f>
        <v>550</v>
      </c>
      <c r="H7" s="39">
        <f>G7/(2000*M46)</f>
        <v>0.87083333333333335</v>
      </c>
      <c r="I7" s="52">
        <f>'Non-Irrigated Build-Up'!L18</f>
        <v>0</v>
      </c>
      <c r="J7" s="39">
        <f>L7*'Non-Irrigated Build-Up'!L18*G7</f>
        <v>0</v>
      </c>
      <c r="K7" s="6"/>
      <c r="L7" s="2">
        <f>11.04/2000</f>
        <v>5.5199999999999997E-3</v>
      </c>
      <c r="M7" s="7"/>
      <c r="N7" s="7"/>
      <c r="O7" s="10"/>
      <c r="P7" s="56"/>
      <c r="Q7" s="7"/>
      <c r="R7" s="7"/>
      <c r="S7" s="7"/>
    </row>
    <row r="8" spans="5:19" ht="18.75" x14ac:dyDescent="0.3">
      <c r="E8" s="10" t="s">
        <v>485</v>
      </c>
      <c r="F8" s="48">
        <v>0.1</v>
      </c>
      <c r="G8" s="50">
        <f>'Non-Irrigated Build-Up'!J22</f>
        <v>700</v>
      </c>
      <c r="H8" s="39"/>
      <c r="I8" s="48">
        <f>'Non-Irrigated Build-Up'!L22</f>
        <v>5</v>
      </c>
      <c r="J8" s="39">
        <f>L8*'Non-Irrigated Build-Up'!L22*G8</f>
        <v>20.474999999999998</v>
      </c>
      <c r="K8" s="6"/>
      <c r="L8" s="2">
        <f>11.7/2000</f>
        <v>5.8499999999999993E-3</v>
      </c>
      <c r="M8" s="10"/>
      <c r="N8" s="10"/>
      <c r="O8" s="10"/>
      <c r="P8" s="10"/>
    </row>
    <row r="9" spans="5:19" ht="18.75" x14ac:dyDescent="0.3">
      <c r="E9" s="10" t="s">
        <v>422</v>
      </c>
      <c r="F9" s="48">
        <v>0.18</v>
      </c>
      <c r="G9" s="50">
        <f>F31</f>
        <v>153.54</v>
      </c>
      <c r="H9" s="39">
        <f>I31</f>
        <v>0.42849999999999999</v>
      </c>
      <c r="I9" s="48">
        <f>'Non-Irrigated Build-Up'!L20</f>
        <v>141</v>
      </c>
      <c r="J9" s="40">
        <f>I9*H9*M28</f>
        <v>16.992703125000002</v>
      </c>
      <c r="K9" s="6"/>
      <c r="L9" s="2">
        <f>2000*F15</f>
        <v>920</v>
      </c>
      <c r="M9" s="10"/>
      <c r="N9" s="10"/>
      <c r="O9" s="10"/>
      <c r="P9" s="10"/>
    </row>
    <row r="10" spans="5:19" ht="18.75" x14ac:dyDescent="0.3">
      <c r="E10" s="10" t="s">
        <v>423</v>
      </c>
      <c r="F10" s="48">
        <v>0.11</v>
      </c>
      <c r="G10" s="50">
        <f>F36</f>
        <v>93.83</v>
      </c>
      <c r="H10" s="39">
        <f>I36</f>
        <v>0.44700000000000001</v>
      </c>
      <c r="I10" s="48">
        <f>'Non-Irrigated Build-Up'!L21</f>
        <v>0</v>
      </c>
      <c r="J10" s="40">
        <f>I10*H10*M33</f>
        <v>0</v>
      </c>
      <c r="K10" s="6"/>
      <c r="L10" s="2">
        <f>2000*F16</f>
        <v>1040</v>
      </c>
      <c r="M10" s="10"/>
      <c r="N10" s="10"/>
      <c r="O10" s="10"/>
      <c r="P10" s="10"/>
    </row>
    <row r="11" spans="5:19" ht="18.75" x14ac:dyDescent="0.3">
      <c r="E11" s="10" t="s">
        <v>412</v>
      </c>
      <c r="F11" s="48">
        <v>0.21</v>
      </c>
      <c r="G11" s="50">
        <f>F43</f>
        <v>179.13</v>
      </c>
      <c r="H11" s="39">
        <f>G11/(2000*M41)</f>
        <v>0.19192499999999998</v>
      </c>
      <c r="I11" s="52">
        <f>'Non-Irrigated Build-Up'!L25</f>
        <v>35</v>
      </c>
      <c r="J11" s="41">
        <f>I11*H11*M41</f>
        <v>3.1347749999999999</v>
      </c>
      <c r="K11" s="6"/>
      <c r="L11" s="2">
        <f>2000*F11</f>
        <v>420</v>
      </c>
      <c r="M11" s="10"/>
      <c r="N11" s="10"/>
      <c r="O11" s="10"/>
      <c r="P11" s="10"/>
    </row>
    <row r="12" spans="5:19" ht="18.75" x14ac:dyDescent="0.3">
      <c r="E12" s="10"/>
      <c r="F12" s="51"/>
      <c r="G12" s="51"/>
      <c r="H12" s="37"/>
      <c r="I12" s="51"/>
      <c r="J12" s="39">
        <f>SUM(J4:J11)</f>
        <v>115.86599062500001</v>
      </c>
      <c r="K12" s="6"/>
      <c r="L12" s="2"/>
      <c r="M12" s="10"/>
      <c r="N12" s="10"/>
      <c r="O12" s="10"/>
      <c r="P12" s="10"/>
    </row>
    <row r="13" spans="5:19" ht="18.75" x14ac:dyDescent="0.3">
      <c r="E13" s="10"/>
      <c r="F13" s="51"/>
      <c r="G13" s="51"/>
      <c r="H13" s="37"/>
      <c r="I13" s="51"/>
      <c r="J13" s="39"/>
      <c r="K13" s="6"/>
      <c r="L13" s="2"/>
      <c r="M13" s="10"/>
      <c r="N13" s="10"/>
      <c r="O13" s="10"/>
      <c r="P13" s="10"/>
    </row>
    <row r="14" spans="5:19" ht="18.75" x14ac:dyDescent="0.3">
      <c r="E14" s="10" t="s">
        <v>486</v>
      </c>
      <c r="F14" s="48">
        <v>0.34</v>
      </c>
      <c r="G14" s="50">
        <f>'Non-Irrigated Build-Up'!J22</f>
        <v>700</v>
      </c>
      <c r="H14" s="39"/>
      <c r="I14" s="48">
        <f>'Non-Irrigated Build-Up'!L22</f>
        <v>5</v>
      </c>
      <c r="J14" s="39">
        <f>L14*'Non-Irrigated Build-Up'!L22*G14</f>
        <v>20.474999999999998</v>
      </c>
      <c r="K14" s="6"/>
      <c r="L14" s="2">
        <f>11.7/2000</f>
        <v>5.8499999999999993E-3</v>
      </c>
      <c r="M14" s="10"/>
      <c r="N14" s="10"/>
      <c r="O14" s="10"/>
      <c r="P14" s="10"/>
    </row>
    <row r="15" spans="5:19" ht="18.75" x14ac:dyDescent="0.3">
      <c r="E15" s="10" t="s">
        <v>421</v>
      </c>
      <c r="F15" s="48">
        <v>0.46</v>
      </c>
      <c r="G15" s="50">
        <f>G31</f>
        <v>703.46</v>
      </c>
      <c r="H15" s="39">
        <f>I31</f>
        <v>0.42849999999999999</v>
      </c>
      <c r="I15" s="48">
        <f>'Non-Irrigated Build-Up'!L20</f>
        <v>141</v>
      </c>
      <c r="J15" s="39">
        <f>I15*H15*N28</f>
        <v>43.425796875000003</v>
      </c>
      <c r="K15" s="6"/>
      <c r="L15" s="2">
        <f>2000*F9</f>
        <v>360</v>
      </c>
      <c r="M15" s="10"/>
      <c r="N15" s="10"/>
      <c r="O15" s="10"/>
      <c r="P15" s="10"/>
    </row>
    <row r="16" spans="5:19" ht="18.75" x14ac:dyDescent="0.3">
      <c r="E16" s="10" t="s">
        <v>428</v>
      </c>
      <c r="F16" s="48">
        <v>0.52</v>
      </c>
      <c r="G16" s="50">
        <f>G36</f>
        <v>800.17</v>
      </c>
      <c r="H16" s="39">
        <f>I36</f>
        <v>0.44700000000000001</v>
      </c>
      <c r="I16" s="48">
        <f>'Non-Irrigated Build-Up'!L21</f>
        <v>0</v>
      </c>
      <c r="J16" s="39">
        <f>I16*H16*N33</f>
        <v>0</v>
      </c>
      <c r="K16" s="6"/>
      <c r="L16" s="2">
        <f>2000*F11</f>
        <v>420</v>
      </c>
      <c r="M16" s="10"/>
      <c r="N16" s="10"/>
      <c r="O16" s="10"/>
      <c r="P16" s="10"/>
    </row>
    <row r="17" spans="5:16" ht="18.75" x14ac:dyDescent="0.3">
      <c r="E17" s="10" t="s">
        <v>413</v>
      </c>
      <c r="F17" s="52">
        <v>0.6</v>
      </c>
      <c r="G17" s="50">
        <f>'Non-Irrigated Build-Up'!J23</f>
        <v>503</v>
      </c>
      <c r="H17" s="39">
        <f>G17/2000</f>
        <v>0.2515</v>
      </c>
      <c r="I17" s="48">
        <f>'Non-Irrigated Build-Up'!L23</f>
        <v>108</v>
      </c>
      <c r="J17" s="40">
        <f>I17*H17</f>
        <v>27.161999999999999</v>
      </c>
      <c r="K17" s="6"/>
      <c r="L17" s="2">
        <f>2000*F17</f>
        <v>1200</v>
      </c>
      <c r="M17" s="10"/>
      <c r="N17" s="10"/>
      <c r="O17" s="10"/>
      <c r="P17" s="10"/>
    </row>
    <row r="18" spans="5:16" ht="18.75" x14ac:dyDescent="0.3">
      <c r="E18" s="10" t="s">
        <v>487</v>
      </c>
      <c r="F18" s="52">
        <v>0.22</v>
      </c>
      <c r="G18" s="50">
        <f>'Non-Irrigated Build-Up'!J24</f>
        <v>0</v>
      </c>
      <c r="H18" s="39">
        <f>G18/2000</f>
        <v>0</v>
      </c>
      <c r="I18" s="48">
        <f>'Non-Irrigated Build-Up'!L24</f>
        <v>0</v>
      </c>
      <c r="J18" s="40">
        <f>I18*H18</f>
        <v>0</v>
      </c>
      <c r="K18" s="6"/>
      <c r="L18" s="2">
        <f>2000*F18</f>
        <v>440</v>
      </c>
      <c r="M18" s="10"/>
      <c r="N18" s="10"/>
      <c r="O18" s="10"/>
      <c r="P18" s="10"/>
    </row>
    <row r="19" spans="5:16" ht="18.75" x14ac:dyDescent="0.3">
      <c r="E19" s="10" t="s">
        <v>450</v>
      </c>
      <c r="F19" s="48">
        <v>0.26</v>
      </c>
      <c r="G19" s="50">
        <f>G48</f>
        <v>503.93799999999999</v>
      </c>
      <c r="H19" s="39">
        <f>G19/(2000*N45)</f>
        <v>4.8455576923076921E-4</v>
      </c>
      <c r="I19" s="52">
        <f>'Non-Irrigated Build-Up'!L18</f>
        <v>0</v>
      </c>
      <c r="J19" s="46">
        <f>I19*H19*N40</f>
        <v>0</v>
      </c>
      <c r="K19" s="6"/>
      <c r="L19" s="2">
        <f>2000*F19</f>
        <v>520</v>
      </c>
      <c r="M19" s="10"/>
      <c r="N19" s="10"/>
      <c r="O19" s="10"/>
      <c r="P19" s="10"/>
    </row>
    <row r="20" spans="5:16" ht="18.75" x14ac:dyDescent="0.3">
      <c r="E20" s="10" t="s">
        <v>449</v>
      </c>
      <c r="F20" s="48">
        <v>0.24</v>
      </c>
      <c r="G20" s="50">
        <f>G43</f>
        <v>495.87</v>
      </c>
      <c r="H20" s="39">
        <f>G20/(2000*N41)</f>
        <v>0.46487812499999998</v>
      </c>
      <c r="I20" s="52">
        <f>'Non-Irrigated Build-Up'!L25</f>
        <v>35</v>
      </c>
      <c r="J20" s="46">
        <f>I20*H20*N41</f>
        <v>8.6777250000000006</v>
      </c>
      <c r="K20" s="6"/>
      <c r="L20" s="2">
        <f>2000*F20</f>
        <v>480</v>
      </c>
      <c r="M20" s="10"/>
      <c r="N20" s="10"/>
      <c r="O20" s="10"/>
      <c r="P20" s="10"/>
    </row>
    <row r="21" spans="5:16" ht="18.75" x14ac:dyDescent="0.3">
      <c r="E21" s="10" t="s">
        <v>489</v>
      </c>
      <c r="F21" s="43">
        <v>0.17</v>
      </c>
      <c r="G21" s="50">
        <f>'Non-Irrigated Build-Up'!J26</f>
        <v>0</v>
      </c>
      <c r="H21" s="39">
        <f>G21/2000</f>
        <v>0</v>
      </c>
      <c r="I21" s="64">
        <f>'Non-Irrigated Build-Up'!L26</f>
        <v>0</v>
      </c>
      <c r="J21" s="40">
        <f>I21*H21</f>
        <v>0</v>
      </c>
      <c r="K21" s="6"/>
      <c r="L21" s="2">
        <f>2000*F21</f>
        <v>340</v>
      </c>
      <c r="M21" s="10"/>
      <c r="N21" s="10"/>
      <c r="O21" s="10"/>
      <c r="P21" s="10"/>
    </row>
    <row r="22" spans="5:16" ht="18.75" x14ac:dyDescent="0.3">
      <c r="E22" s="10"/>
      <c r="F22" s="37"/>
      <c r="G22" s="37"/>
      <c r="H22" s="37"/>
      <c r="I22" s="37"/>
      <c r="J22" s="39">
        <f>SUM(J14:J21)</f>
        <v>99.740521874999999</v>
      </c>
      <c r="K22" s="2"/>
      <c r="L22" s="10"/>
      <c r="M22" s="10"/>
      <c r="N22" s="10"/>
      <c r="O22" s="8"/>
      <c r="P22" s="8">
        <f>SUM(M27:N27)</f>
        <v>1280</v>
      </c>
    </row>
    <row r="23" spans="5:16" ht="18.75" x14ac:dyDescent="0.3">
      <c r="E23" s="10"/>
      <c r="F23" s="37"/>
      <c r="G23" s="37"/>
      <c r="H23" s="37"/>
      <c r="I23" s="8"/>
      <c r="J23" s="8"/>
      <c r="K23" s="2"/>
      <c r="L23" s="10"/>
      <c r="M23" s="10"/>
      <c r="N23" s="10"/>
      <c r="O23" s="8"/>
      <c r="P23" s="8">
        <f>SUM(M28:N28)</f>
        <v>1</v>
      </c>
    </row>
    <row r="24" spans="5:16" ht="18.75" x14ac:dyDescent="0.3">
      <c r="E24" s="10"/>
      <c r="F24" s="42"/>
      <c r="G24" s="42"/>
      <c r="H24" s="37"/>
      <c r="I24" s="43" t="s">
        <v>414</v>
      </c>
      <c r="J24" s="47">
        <f>J12+J22</f>
        <v>215.60651250000001</v>
      </c>
      <c r="K24" s="2"/>
      <c r="L24" s="10"/>
      <c r="M24" s="7"/>
      <c r="N24" s="7"/>
      <c r="O24" s="7"/>
      <c r="P24" s="7"/>
    </row>
    <row r="25" spans="5:16" ht="18.75" x14ac:dyDescent="0.3">
      <c r="E25" s="10"/>
      <c r="F25" s="37"/>
      <c r="G25" s="37"/>
      <c r="H25" s="37"/>
      <c r="I25" s="37"/>
      <c r="J25" s="37"/>
      <c r="K25" s="6"/>
      <c r="L25" s="7"/>
      <c r="M25" s="7"/>
      <c r="N25" s="7"/>
      <c r="O25" s="7"/>
      <c r="P25" s="7"/>
    </row>
    <row r="26" spans="5:16" ht="18.75" x14ac:dyDescent="0.3">
      <c r="E26" s="10"/>
      <c r="F26" s="37"/>
      <c r="G26" s="37"/>
      <c r="H26" s="37"/>
      <c r="I26" s="37"/>
      <c r="J26" s="37"/>
      <c r="K26" s="6"/>
      <c r="L26" s="7"/>
      <c r="M26" s="7"/>
      <c r="N26" s="7"/>
      <c r="O26" s="7"/>
      <c r="P26" s="7"/>
    </row>
    <row r="27" spans="5:16" ht="18.75" x14ac:dyDescent="0.3">
      <c r="E27" s="277" t="s">
        <v>415</v>
      </c>
      <c r="F27" s="278"/>
      <c r="G27" s="278"/>
      <c r="H27" s="278"/>
      <c r="I27" s="278"/>
      <c r="J27" s="279"/>
      <c r="K27" s="6"/>
      <c r="L27" s="7"/>
      <c r="M27" s="8">
        <f>2000*(F29/100)</f>
        <v>360</v>
      </c>
      <c r="N27" s="8">
        <f>2000*(G29/100)</f>
        <v>920</v>
      </c>
      <c r="O27" s="7"/>
      <c r="P27" s="7"/>
    </row>
    <row r="28" spans="5:16" ht="18.75" x14ac:dyDescent="0.3">
      <c r="E28" s="10"/>
      <c r="F28" s="37" t="s">
        <v>51</v>
      </c>
      <c r="G28" s="37" t="s">
        <v>52</v>
      </c>
      <c r="H28" s="37" t="s">
        <v>416</v>
      </c>
      <c r="I28" s="37"/>
      <c r="J28" s="37"/>
      <c r="K28" s="6"/>
      <c r="L28" s="7"/>
      <c r="M28" s="53">
        <f>M27/(M27+N27)</f>
        <v>0.28125</v>
      </c>
      <c r="N28" s="53">
        <f>N27/(M27+N27)</f>
        <v>0.71875</v>
      </c>
      <c r="O28" s="7"/>
      <c r="P28" s="7"/>
    </row>
    <row r="29" spans="5:16" ht="18.75" x14ac:dyDescent="0.3">
      <c r="E29" s="10"/>
      <c r="F29" s="48">
        <f>F9*100</f>
        <v>18</v>
      </c>
      <c r="G29" s="48">
        <f>F15*100</f>
        <v>46</v>
      </c>
      <c r="H29" s="49">
        <f>'Non-Irrigated Build-Up'!J20</f>
        <v>857</v>
      </c>
      <c r="I29" s="37"/>
      <c r="J29" s="37"/>
      <c r="K29" s="6"/>
      <c r="L29" s="7" t="s">
        <v>364</v>
      </c>
      <c r="M29" s="7"/>
      <c r="N29" s="7"/>
      <c r="O29" s="7"/>
      <c r="P29" s="7"/>
    </row>
    <row r="30" spans="5:16" ht="18.75" x14ac:dyDescent="0.3">
      <c r="E30" s="10" t="s">
        <v>410</v>
      </c>
      <c r="F30" s="50">
        <f>H4</f>
        <v>0.42649999999999999</v>
      </c>
      <c r="G30" s="28">
        <f>G31/N27</f>
        <v>0.76463043478260873</v>
      </c>
      <c r="H30" s="42"/>
      <c r="I30" s="37"/>
      <c r="J30" s="37"/>
      <c r="K30" s="6"/>
      <c r="L30" s="7" t="s">
        <v>365</v>
      </c>
      <c r="M30" s="7"/>
      <c r="N30" s="7"/>
      <c r="O30" s="7"/>
      <c r="P30" s="7"/>
    </row>
    <row r="31" spans="5:16" ht="18.75" x14ac:dyDescent="0.3">
      <c r="E31" s="10" t="s">
        <v>409</v>
      </c>
      <c r="F31" s="28">
        <f>M27*F30</f>
        <v>153.54</v>
      </c>
      <c r="G31" s="28">
        <f>H29-F31</f>
        <v>703.46</v>
      </c>
      <c r="H31" s="28">
        <f>SUM(F31:G31)</f>
        <v>857</v>
      </c>
      <c r="I31" s="57">
        <f>H31/2000</f>
        <v>0.42849999999999999</v>
      </c>
      <c r="J31" s="42"/>
      <c r="K31" s="6"/>
      <c r="L31" s="7"/>
      <c r="M31" s="7"/>
      <c r="N31" s="7"/>
      <c r="O31" s="7"/>
      <c r="P31" s="7"/>
    </row>
    <row r="32" spans="5:16" ht="18.75" x14ac:dyDescent="0.3">
      <c r="E32" s="7"/>
      <c r="F32" s="44"/>
      <c r="G32" s="44"/>
      <c r="H32" s="44"/>
      <c r="I32" s="44"/>
      <c r="J32" s="44"/>
      <c r="K32" s="6"/>
      <c r="L32" s="7"/>
      <c r="M32" s="8">
        <f>2000*(F34/100)</f>
        <v>220</v>
      </c>
      <c r="N32" s="8">
        <f>2000*(G34/100)</f>
        <v>1040</v>
      </c>
      <c r="O32" s="7"/>
      <c r="P32" s="7"/>
    </row>
    <row r="33" spans="5:16" ht="18.75" x14ac:dyDescent="0.3">
      <c r="E33" s="10"/>
      <c r="F33" s="37" t="s">
        <v>51</v>
      </c>
      <c r="G33" s="37" t="s">
        <v>52</v>
      </c>
      <c r="H33" s="37" t="s">
        <v>416</v>
      </c>
      <c r="I33" s="37"/>
      <c r="J33" s="37"/>
      <c r="K33" s="6"/>
      <c r="L33" s="7"/>
      <c r="M33" s="53">
        <f>M32/(M32+N32)</f>
        <v>0.17460317460317459</v>
      </c>
      <c r="N33" s="53">
        <f>N32/(M32+N32)</f>
        <v>0.82539682539682535</v>
      </c>
      <c r="O33" s="7"/>
      <c r="P33" s="7"/>
    </row>
    <row r="34" spans="5:16" ht="18.75" x14ac:dyDescent="0.3">
      <c r="E34" s="10"/>
      <c r="F34" s="48">
        <f>F10*100</f>
        <v>11</v>
      </c>
      <c r="G34" s="48">
        <f>F16*100</f>
        <v>52</v>
      </c>
      <c r="H34" s="49">
        <f>'Non-Irrigated Build-Up'!J21</f>
        <v>894</v>
      </c>
      <c r="I34" s="37"/>
      <c r="J34" s="37"/>
      <c r="K34" s="6"/>
      <c r="L34" s="7" t="s">
        <v>364</v>
      </c>
      <c r="M34" s="7"/>
      <c r="N34" s="7"/>
      <c r="O34" s="7"/>
      <c r="P34" s="7"/>
    </row>
    <row r="35" spans="5:16" ht="18.75" x14ac:dyDescent="0.3">
      <c r="E35" s="10" t="s">
        <v>410</v>
      </c>
      <c r="F35" s="50">
        <f>H4</f>
        <v>0.42649999999999999</v>
      </c>
      <c r="G35" s="28">
        <f>G36/N32</f>
        <v>0.76939423076923075</v>
      </c>
      <c r="H35" s="42"/>
      <c r="I35" s="37"/>
      <c r="J35" s="37"/>
      <c r="K35" s="6"/>
      <c r="L35" s="7" t="s">
        <v>365</v>
      </c>
      <c r="M35" s="7"/>
      <c r="N35" s="7"/>
      <c r="O35" s="7"/>
      <c r="P35" s="7"/>
    </row>
    <row r="36" spans="5:16" ht="18.75" x14ac:dyDescent="0.3">
      <c r="E36" s="10" t="s">
        <v>409</v>
      </c>
      <c r="F36" s="28">
        <f>M32*F35</f>
        <v>93.83</v>
      </c>
      <c r="G36" s="28">
        <f>H34-F36</f>
        <v>800.17</v>
      </c>
      <c r="H36" s="28">
        <f>SUM(F36:G36)</f>
        <v>894</v>
      </c>
      <c r="I36" s="57">
        <f>H36/2000</f>
        <v>0.44700000000000001</v>
      </c>
      <c r="J36" s="42"/>
      <c r="K36" s="6"/>
      <c r="L36" s="7"/>
      <c r="M36" s="7"/>
      <c r="N36" s="7"/>
      <c r="O36" s="7"/>
      <c r="P36" s="7"/>
    </row>
    <row r="37" spans="5:16" ht="18.75" x14ac:dyDescent="0.3">
      <c r="E37" s="6"/>
      <c r="F37" s="8"/>
      <c r="G37" s="8"/>
      <c r="H37" s="8"/>
      <c r="I37" s="8"/>
      <c r="J37" s="8"/>
      <c r="K37" s="6"/>
      <c r="L37" s="7"/>
      <c r="M37" s="7"/>
      <c r="N37" s="7"/>
      <c r="O37" s="7"/>
      <c r="P37" s="7"/>
    </row>
    <row r="38" spans="5:16" ht="18.75" x14ac:dyDescent="0.3">
      <c r="E38" s="6"/>
      <c r="F38" s="8"/>
      <c r="G38" s="8"/>
      <c r="H38" s="8"/>
      <c r="I38" s="8"/>
      <c r="J38" s="8"/>
      <c r="K38" s="6"/>
      <c r="L38" s="7"/>
      <c r="M38" s="7"/>
      <c r="N38" s="7"/>
      <c r="O38" s="7"/>
      <c r="P38" s="7"/>
    </row>
    <row r="39" spans="5:16" ht="18.75" x14ac:dyDescent="0.3">
      <c r="E39" s="277" t="s">
        <v>417</v>
      </c>
      <c r="F39" s="278"/>
      <c r="G39" s="278"/>
      <c r="H39" s="278"/>
      <c r="I39" s="278"/>
      <c r="J39" s="279"/>
      <c r="K39" s="6"/>
      <c r="L39" s="7"/>
      <c r="M39" s="7"/>
      <c r="N39" s="7"/>
      <c r="O39" s="7"/>
      <c r="P39" s="7"/>
    </row>
    <row r="40" spans="5:16" ht="18.75" x14ac:dyDescent="0.3">
      <c r="E40" s="10"/>
      <c r="F40" s="37" t="s">
        <v>51</v>
      </c>
      <c r="G40" s="37" t="s">
        <v>53</v>
      </c>
      <c r="H40" s="37" t="s">
        <v>416</v>
      </c>
      <c r="I40" s="37"/>
      <c r="J40" s="37"/>
      <c r="K40" s="6"/>
      <c r="L40" s="7"/>
      <c r="M40" s="8">
        <f>2000*(F41/100)</f>
        <v>420</v>
      </c>
      <c r="N40" s="8">
        <f>2000*(G41/100)</f>
        <v>480</v>
      </c>
      <c r="O40" s="7"/>
      <c r="P40" s="7"/>
    </row>
    <row r="41" spans="5:16" ht="18.75" x14ac:dyDescent="0.3">
      <c r="E41" s="10" t="s">
        <v>490</v>
      </c>
      <c r="F41" s="48">
        <f>F11*100</f>
        <v>21</v>
      </c>
      <c r="G41" s="48">
        <f>F20*100</f>
        <v>24</v>
      </c>
      <c r="H41" s="49">
        <f>'Non-Irrigated Build-Up'!J25</f>
        <v>675</v>
      </c>
      <c r="I41" s="37"/>
      <c r="J41" s="37"/>
      <c r="K41" s="6"/>
      <c r="L41" s="7"/>
      <c r="M41" s="53">
        <f>M40/(M40+N40)</f>
        <v>0.46666666666666667</v>
      </c>
      <c r="N41" s="53">
        <f>N40/(M40+N40)</f>
        <v>0.53333333333333333</v>
      </c>
      <c r="O41" s="7"/>
      <c r="P41" s="7"/>
    </row>
    <row r="42" spans="5:16" ht="18.75" x14ac:dyDescent="0.3">
      <c r="E42" s="10" t="s">
        <v>410</v>
      </c>
      <c r="F42" s="50">
        <f>H4</f>
        <v>0.42649999999999999</v>
      </c>
      <c r="G42" s="27">
        <f>G43/N40</f>
        <v>1.0330625</v>
      </c>
      <c r="H42" s="43"/>
      <c r="I42" s="37"/>
      <c r="J42" s="37"/>
      <c r="K42" s="6"/>
      <c r="L42" s="7" t="s">
        <v>364</v>
      </c>
      <c r="M42" s="7"/>
      <c r="N42" s="7"/>
      <c r="O42" s="7"/>
      <c r="P42" s="7"/>
    </row>
    <row r="43" spans="5:16" ht="18.75" x14ac:dyDescent="0.3">
      <c r="E43" s="10" t="s">
        <v>409</v>
      </c>
      <c r="F43" s="28">
        <f>M40*F42</f>
        <v>179.13</v>
      </c>
      <c r="G43" s="28">
        <f>H41-F43</f>
        <v>495.87</v>
      </c>
      <c r="H43" s="28">
        <f>SUM(F43:G43)</f>
        <v>675</v>
      </c>
      <c r="I43" s="42"/>
      <c r="J43" s="42"/>
      <c r="K43" s="6"/>
      <c r="L43" s="7" t="s">
        <v>365</v>
      </c>
      <c r="M43" s="7"/>
      <c r="N43" s="7"/>
      <c r="O43" s="7"/>
      <c r="P43" s="7"/>
    </row>
    <row r="44" spans="5:16" ht="18.75" x14ac:dyDescent="0.3">
      <c r="E44" s="7"/>
      <c r="F44" s="44"/>
      <c r="G44" s="44"/>
      <c r="H44" s="44"/>
      <c r="I44" s="44"/>
      <c r="J44" s="44"/>
      <c r="K44" s="6"/>
      <c r="L44" s="7"/>
      <c r="M44" s="7"/>
      <c r="N44" s="7"/>
    </row>
    <row r="45" spans="5:16" ht="18.75" x14ac:dyDescent="0.3">
      <c r="E45" s="10"/>
      <c r="F45" s="37" t="s">
        <v>51</v>
      </c>
      <c r="G45" s="37" t="s">
        <v>53</v>
      </c>
      <c r="H45" s="37" t="s">
        <v>416</v>
      </c>
      <c r="I45" s="37"/>
      <c r="J45" s="37"/>
      <c r="K45" s="6"/>
      <c r="L45" s="7"/>
      <c r="M45" s="8">
        <f>2000*(F46/100)</f>
        <v>240</v>
      </c>
      <c r="N45" s="8">
        <f>2000*(G46/100)</f>
        <v>520</v>
      </c>
    </row>
    <row r="46" spans="5:16" ht="18.75" x14ac:dyDescent="0.3">
      <c r="E46" s="10" t="s">
        <v>491</v>
      </c>
      <c r="F46" s="48">
        <v>12</v>
      </c>
      <c r="G46" s="48">
        <v>26</v>
      </c>
      <c r="H46" s="49">
        <f>'Non-Irrigated Build-Up'!J18</f>
        <v>550</v>
      </c>
      <c r="I46" s="37"/>
      <c r="J46" s="37"/>
      <c r="K46" s="6"/>
      <c r="L46" s="7"/>
      <c r="M46" s="53">
        <f>M45/(M45+N45)</f>
        <v>0.31578947368421051</v>
      </c>
      <c r="N46" s="53">
        <f>N45/(M45+N45)</f>
        <v>0.68421052631578949</v>
      </c>
    </row>
    <row r="47" spans="5:16" ht="18.75" x14ac:dyDescent="0.3">
      <c r="E47" s="10" t="s">
        <v>410</v>
      </c>
      <c r="F47" s="50">
        <f>H11</f>
        <v>0.19192499999999998</v>
      </c>
      <c r="G47" s="51">
        <f>G48/N45</f>
        <v>0.96911153846153841</v>
      </c>
      <c r="H47" s="43"/>
      <c r="I47" s="37"/>
      <c r="J47" s="37"/>
      <c r="K47" s="6"/>
      <c r="L47" s="7" t="s">
        <v>364</v>
      </c>
      <c r="M47" s="7"/>
      <c r="N47" s="7"/>
    </row>
    <row r="48" spans="5:16" ht="18.75" x14ac:dyDescent="0.3">
      <c r="E48" s="10" t="s">
        <v>409</v>
      </c>
      <c r="F48" s="28">
        <f>M45*F47</f>
        <v>46.061999999999998</v>
      </c>
      <c r="G48" s="28">
        <f>H46-F48</f>
        <v>503.93799999999999</v>
      </c>
      <c r="H48" s="28">
        <f>SUM(F48:G48)</f>
        <v>550</v>
      </c>
      <c r="I48" s="42"/>
      <c r="J48" s="42"/>
      <c r="K48" s="6"/>
      <c r="L48" s="7" t="s">
        <v>365</v>
      </c>
    </row>
  </sheetData>
  <mergeCells count="2">
    <mergeCell ref="E27:J27"/>
    <mergeCell ref="E39:J3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E994-A604-4B74-BB59-6FDDE174FAEA}">
  <dimension ref="E2:S48"/>
  <sheetViews>
    <sheetView workbookViewId="0">
      <selection activeCell="S9" sqref="S9"/>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408</v>
      </c>
      <c r="G2" s="37" t="s">
        <v>409</v>
      </c>
      <c r="H2" s="37" t="s">
        <v>429</v>
      </c>
      <c r="I2" s="37" t="s">
        <v>411</v>
      </c>
      <c r="J2" s="37" t="s">
        <v>404</v>
      </c>
      <c r="K2" s="6"/>
      <c r="L2" s="7"/>
      <c r="M2" s="7"/>
      <c r="N2" s="7"/>
      <c r="O2" s="7"/>
      <c r="P2" s="7"/>
    </row>
    <row r="3" spans="5:19" ht="18.75" x14ac:dyDescent="0.3">
      <c r="E3" s="10"/>
      <c r="F3" s="38" t="s">
        <v>60</v>
      </c>
      <c r="G3" s="38" t="s">
        <v>60</v>
      </c>
      <c r="H3" s="54" t="s">
        <v>430</v>
      </c>
      <c r="I3" s="38" t="s">
        <v>60</v>
      </c>
      <c r="J3" s="37"/>
      <c r="K3" s="2"/>
      <c r="L3" s="10"/>
      <c r="M3" s="10"/>
      <c r="N3" s="10"/>
      <c r="O3" s="10"/>
      <c r="P3" s="10"/>
    </row>
    <row r="4" spans="5:19" ht="18.75" x14ac:dyDescent="0.3">
      <c r="E4" s="10" t="s">
        <v>419</v>
      </c>
      <c r="F4" s="48">
        <v>0.46</v>
      </c>
      <c r="G4" s="50">
        <f>'Irrigated Build-Up'!J19</f>
        <v>853</v>
      </c>
      <c r="H4" s="39">
        <f>G4/2000</f>
        <v>0.42649999999999999</v>
      </c>
      <c r="I4" s="48">
        <f>'Irrigated Build-Up'!L19</f>
        <v>0</v>
      </c>
      <c r="J4" s="39">
        <f>I4*H4</f>
        <v>0</v>
      </c>
      <c r="K4" s="6"/>
      <c r="L4" s="2">
        <f>2000*F4</f>
        <v>920</v>
      </c>
      <c r="M4" s="7"/>
      <c r="N4" s="7"/>
      <c r="O4" s="10"/>
      <c r="P4" s="42" t="s">
        <v>484</v>
      </c>
      <c r="Q4" s="42" t="s">
        <v>52</v>
      </c>
      <c r="R4" s="42" t="s">
        <v>442</v>
      </c>
      <c r="S4" s="42" t="s">
        <v>53</v>
      </c>
    </row>
    <row r="5" spans="5:19" ht="18.75" x14ac:dyDescent="0.3">
      <c r="E5" s="10" t="s">
        <v>420</v>
      </c>
      <c r="F5" s="48">
        <v>0.28000000000000003</v>
      </c>
      <c r="G5" s="50">
        <f>'Irrigated Build-Up'!J16</f>
        <v>513</v>
      </c>
      <c r="H5" s="39"/>
      <c r="I5" s="48">
        <f>'Irrigated Build-Up'!L16</f>
        <v>48</v>
      </c>
      <c r="J5" s="39">
        <f>L5*'Irrigated Build-Up'!L16*G5</f>
        <v>131.36904000000001</v>
      </c>
      <c r="K5" s="6"/>
      <c r="L5" s="2">
        <f>10.67/2000</f>
        <v>5.3350000000000003E-3</v>
      </c>
      <c r="M5" s="7"/>
      <c r="N5" s="7"/>
      <c r="O5" s="10"/>
      <c r="P5" s="56">
        <f>(I5*10.67*F5)+(I4*F4)+(I11*F11)+(F7*11.04*I7)+(I9*F9)+(I10*F10)+(I8*11.7*F8)+(I6*F6)</f>
        <v>190.02479999999997</v>
      </c>
      <c r="Q5" s="42">
        <f>(I15*F15)+(F16*I16)+(F14*11.7*I14)</f>
        <v>99.93</v>
      </c>
      <c r="R5" s="42">
        <f>(I17*F17)+(F18*I18)</f>
        <v>75</v>
      </c>
      <c r="S5" s="42">
        <f>(I20*F20)+(F19*11.04*I19)+(F21*I21)</f>
        <v>10.799999999999999</v>
      </c>
    </row>
    <row r="6" spans="5:19" ht="18.75" x14ac:dyDescent="0.3">
      <c r="E6" s="10" t="s">
        <v>577</v>
      </c>
      <c r="F6" s="48">
        <v>0.82</v>
      </c>
      <c r="G6" s="50">
        <f>'Irrigated Build-Up'!J17</f>
        <v>1100</v>
      </c>
      <c r="H6" s="39">
        <f>G6/2000</f>
        <v>0.55000000000000004</v>
      </c>
      <c r="I6" s="48">
        <f>'Irrigated Build-Up'!L17</f>
        <v>0</v>
      </c>
      <c r="J6" s="39">
        <f>I6*H6</f>
        <v>0</v>
      </c>
      <c r="K6" s="6"/>
      <c r="L6" s="2">
        <f>2000*F6</f>
        <v>1640</v>
      </c>
      <c r="M6" s="7"/>
      <c r="N6" s="7"/>
      <c r="O6" s="10"/>
      <c r="P6" s="56"/>
      <c r="Q6" s="42"/>
      <c r="R6" s="42"/>
      <c r="S6" s="42"/>
    </row>
    <row r="7" spans="5:19" ht="18.75" x14ac:dyDescent="0.3">
      <c r="E7" s="10" t="s">
        <v>448</v>
      </c>
      <c r="F7" s="48">
        <v>0.12</v>
      </c>
      <c r="G7" s="50">
        <f>'Irrigated Build-Up'!J18</f>
        <v>550</v>
      </c>
      <c r="H7" s="39">
        <f>G7/(2000*M46)</f>
        <v>0.87083333333333335</v>
      </c>
      <c r="I7" s="52">
        <f>'Irrigated Build-Up'!L18</f>
        <v>0</v>
      </c>
      <c r="J7" s="39">
        <f>L7*'Irrigated Build-Up'!L18*G7</f>
        <v>0</v>
      </c>
      <c r="K7" s="6"/>
      <c r="L7" s="2">
        <f>11.04/2000</f>
        <v>5.5199999999999997E-3</v>
      </c>
      <c r="M7" s="7"/>
      <c r="N7" s="7"/>
      <c r="O7" s="10"/>
      <c r="P7" s="56"/>
      <c r="Q7" s="7"/>
      <c r="R7" s="7"/>
      <c r="S7" s="7"/>
    </row>
    <row r="8" spans="5:19" ht="18.75" x14ac:dyDescent="0.3">
      <c r="E8" s="10" t="s">
        <v>485</v>
      </c>
      <c r="F8" s="48">
        <v>0.1</v>
      </c>
      <c r="G8" s="50">
        <f>'Irrigated Build-Up'!J22</f>
        <v>700</v>
      </c>
      <c r="H8" s="39"/>
      <c r="I8" s="48">
        <f>'Irrigated Build-Up'!L22</f>
        <v>5</v>
      </c>
      <c r="J8" s="39">
        <f>L8*'Irrigated Build-Up'!L22*G8</f>
        <v>20.474999999999998</v>
      </c>
      <c r="K8" s="6"/>
      <c r="L8" s="2">
        <f>11.7/2000</f>
        <v>5.8499999999999993E-3</v>
      </c>
      <c r="M8" s="10"/>
      <c r="N8" s="10"/>
      <c r="O8" s="10"/>
      <c r="P8" s="10"/>
    </row>
    <row r="9" spans="5:19" ht="18.75" x14ac:dyDescent="0.3">
      <c r="E9" s="10" t="s">
        <v>422</v>
      </c>
      <c r="F9" s="48">
        <v>0.18</v>
      </c>
      <c r="G9" s="50">
        <f>F31</f>
        <v>153.54</v>
      </c>
      <c r="H9" s="39">
        <f>I31</f>
        <v>0.42849999999999999</v>
      </c>
      <c r="I9" s="48">
        <f>'Irrigated Build-Up'!L20</f>
        <v>174</v>
      </c>
      <c r="J9" s="40">
        <f>I9*H9*M28</f>
        <v>20.969718749999998</v>
      </c>
      <c r="K9" s="6"/>
      <c r="L9" s="2">
        <f>2000*F15</f>
        <v>920</v>
      </c>
      <c r="M9" s="10"/>
      <c r="N9" s="10"/>
      <c r="O9" s="10"/>
      <c r="P9" s="10"/>
    </row>
    <row r="10" spans="5:19" ht="18.75" x14ac:dyDescent="0.3">
      <c r="E10" s="10" t="s">
        <v>423</v>
      </c>
      <c r="F10" s="48">
        <v>0.11</v>
      </c>
      <c r="G10" s="50">
        <f>F36</f>
        <v>93.83</v>
      </c>
      <c r="H10" s="39">
        <f>I36</f>
        <v>0.44700000000000001</v>
      </c>
      <c r="I10" s="48">
        <f>'Irrigated Build-Up'!L21</f>
        <v>0</v>
      </c>
      <c r="J10" s="40">
        <f>I10*H10*M33</f>
        <v>0</v>
      </c>
      <c r="K10" s="6"/>
      <c r="L10" s="2">
        <f>2000*F16</f>
        <v>1040</v>
      </c>
      <c r="M10" s="10"/>
      <c r="N10" s="10"/>
      <c r="O10" s="10"/>
      <c r="P10" s="10"/>
    </row>
    <row r="11" spans="5:19" ht="18.75" x14ac:dyDescent="0.3">
      <c r="E11" s="10" t="s">
        <v>412</v>
      </c>
      <c r="F11" s="48">
        <v>0.21</v>
      </c>
      <c r="G11" s="50">
        <f>F43</f>
        <v>179.13</v>
      </c>
      <c r="H11" s="39">
        <f>G11/(2000*M41)</f>
        <v>0.19192499999999998</v>
      </c>
      <c r="I11" s="52">
        <f>'Irrigated Build-Up'!L25</f>
        <v>45</v>
      </c>
      <c r="J11" s="41">
        <f>I11*H11*M41</f>
        <v>4.0304249999999993</v>
      </c>
      <c r="K11" s="6"/>
      <c r="L11" s="2">
        <f>2000*F11</f>
        <v>420</v>
      </c>
      <c r="M11" s="10"/>
      <c r="N11" s="10"/>
      <c r="O11" s="10"/>
      <c r="P11" s="10"/>
    </row>
    <row r="12" spans="5:19" ht="18.75" x14ac:dyDescent="0.3">
      <c r="E12" s="10"/>
      <c r="F12" s="51"/>
      <c r="G12" s="51"/>
      <c r="H12" s="37"/>
      <c r="I12" s="51"/>
      <c r="J12" s="39">
        <f>SUM(J4:J11)</f>
        <v>176.84418375000001</v>
      </c>
      <c r="K12" s="6"/>
      <c r="L12" s="2"/>
      <c r="M12" s="10"/>
      <c r="N12" s="10"/>
      <c r="O12" s="10"/>
      <c r="P12" s="10"/>
    </row>
    <row r="13" spans="5:19" ht="18.75" x14ac:dyDescent="0.3">
      <c r="E13" s="10"/>
      <c r="F13" s="51"/>
      <c r="G13" s="51"/>
      <c r="H13" s="37"/>
      <c r="I13" s="51"/>
      <c r="J13" s="39"/>
      <c r="K13" s="6"/>
      <c r="L13" s="2"/>
      <c r="M13" s="10"/>
      <c r="N13" s="10"/>
      <c r="O13" s="10"/>
      <c r="P13" s="10"/>
    </row>
    <row r="14" spans="5:19" ht="18.75" x14ac:dyDescent="0.3">
      <c r="E14" s="10" t="s">
        <v>486</v>
      </c>
      <c r="F14" s="48">
        <v>0.34</v>
      </c>
      <c r="G14" s="50">
        <f>'Irrigated Build-Up'!J22</f>
        <v>700</v>
      </c>
      <c r="H14" s="39"/>
      <c r="I14" s="48">
        <f>'Irrigated Build-Up'!L22</f>
        <v>5</v>
      </c>
      <c r="J14" s="39">
        <f>L14*'Irrigated Build-Up'!L22*G14</f>
        <v>20.474999999999998</v>
      </c>
      <c r="K14" s="6"/>
      <c r="L14" s="2">
        <f>11.7/2000</f>
        <v>5.8499999999999993E-3</v>
      </c>
      <c r="M14" s="10"/>
      <c r="N14" s="10"/>
      <c r="O14" s="10"/>
      <c r="P14" s="10"/>
    </row>
    <row r="15" spans="5:19" ht="18.75" x14ac:dyDescent="0.3">
      <c r="E15" s="10" t="s">
        <v>421</v>
      </c>
      <c r="F15" s="48">
        <v>0.46</v>
      </c>
      <c r="G15" s="50">
        <f>G31</f>
        <v>703.46</v>
      </c>
      <c r="H15" s="39">
        <f>I31</f>
        <v>0.42849999999999999</v>
      </c>
      <c r="I15" s="48">
        <f>'Irrigated Build-Up'!L20</f>
        <v>174</v>
      </c>
      <c r="J15" s="39">
        <f>I15*H15*N28</f>
        <v>53.589281249999999</v>
      </c>
      <c r="K15" s="6"/>
      <c r="L15" s="2">
        <f>2000*F9</f>
        <v>360</v>
      </c>
      <c r="M15" s="10"/>
      <c r="N15" s="10"/>
      <c r="O15" s="10"/>
      <c r="P15" s="10"/>
    </row>
    <row r="16" spans="5:19" ht="18.75" x14ac:dyDescent="0.3">
      <c r="E16" s="10" t="s">
        <v>428</v>
      </c>
      <c r="F16" s="48">
        <v>0.52</v>
      </c>
      <c r="G16" s="50">
        <f>G36</f>
        <v>800.17</v>
      </c>
      <c r="H16" s="39">
        <f>I36</f>
        <v>0.44700000000000001</v>
      </c>
      <c r="I16" s="48">
        <f>'Irrigated Build-Up'!L21</f>
        <v>0</v>
      </c>
      <c r="J16" s="39">
        <f>I16*H16*N33</f>
        <v>0</v>
      </c>
      <c r="K16" s="6"/>
      <c r="L16" s="2">
        <f>2000*F11</f>
        <v>420</v>
      </c>
      <c r="M16" s="10"/>
      <c r="N16" s="10"/>
      <c r="O16" s="10"/>
      <c r="P16" s="10"/>
    </row>
    <row r="17" spans="5:16" ht="18.75" x14ac:dyDescent="0.3">
      <c r="E17" s="10" t="s">
        <v>413</v>
      </c>
      <c r="F17" s="52">
        <v>0.6</v>
      </c>
      <c r="G17" s="50">
        <f>'Irrigated Build-Up'!J23</f>
        <v>503</v>
      </c>
      <c r="H17" s="39">
        <f>G17/2000</f>
        <v>0.2515</v>
      </c>
      <c r="I17" s="48">
        <f>'Irrigated Build-Up'!L23</f>
        <v>125</v>
      </c>
      <c r="J17" s="40">
        <f>I17*H17</f>
        <v>31.4375</v>
      </c>
      <c r="K17" s="6"/>
      <c r="L17" s="2">
        <f>2000*F17</f>
        <v>1200</v>
      </c>
      <c r="M17" s="10"/>
      <c r="N17" s="10"/>
      <c r="O17" s="10"/>
      <c r="P17" s="10"/>
    </row>
    <row r="18" spans="5:16" ht="18.75" x14ac:dyDescent="0.3">
      <c r="E18" s="10" t="s">
        <v>487</v>
      </c>
      <c r="F18" s="52">
        <v>0.22</v>
      </c>
      <c r="G18" s="50">
        <f>'Irrigated Build-Up'!J24</f>
        <v>0</v>
      </c>
      <c r="H18" s="39">
        <f>G18/2000</f>
        <v>0</v>
      </c>
      <c r="I18" s="48">
        <f>'Irrigated Build-Up'!L24</f>
        <v>0</v>
      </c>
      <c r="J18" s="40">
        <f>I18*H18</f>
        <v>0</v>
      </c>
      <c r="K18" s="6"/>
      <c r="L18" s="2">
        <f>2000*F18</f>
        <v>440</v>
      </c>
      <c r="M18" s="10"/>
      <c r="N18" s="10"/>
      <c r="O18" s="10"/>
      <c r="P18" s="10"/>
    </row>
    <row r="19" spans="5:16" ht="18.75" x14ac:dyDescent="0.3">
      <c r="E19" s="10" t="s">
        <v>450</v>
      </c>
      <c r="F19" s="48">
        <v>0.26</v>
      </c>
      <c r="G19" s="50">
        <f>G48</f>
        <v>503.93799999999999</v>
      </c>
      <c r="H19" s="39">
        <f>G19/(2000*N45)</f>
        <v>4.8455576923076921E-4</v>
      </c>
      <c r="I19" s="52">
        <f>'Irrigated Build-Up'!L18</f>
        <v>0</v>
      </c>
      <c r="J19" s="46">
        <f>I19*H19*N40</f>
        <v>0</v>
      </c>
      <c r="K19" s="6"/>
      <c r="L19" s="2">
        <f>2000*F19</f>
        <v>520</v>
      </c>
      <c r="M19" s="10"/>
      <c r="N19" s="10"/>
      <c r="O19" s="10"/>
      <c r="P19" s="10"/>
    </row>
    <row r="20" spans="5:16" ht="18.75" x14ac:dyDescent="0.3">
      <c r="E20" s="10" t="s">
        <v>449</v>
      </c>
      <c r="F20" s="48">
        <v>0.24</v>
      </c>
      <c r="G20" s="50">
        <f>G43</f>
        <v>495.87</v>
      </c>
      <c r="H20" s="39">
        <f>G20/(2000*N41)</f>
        <v>0.46487812499999998</v>
      </c>
      <c r="I20" s="52">
        <f>'Irrigated Build-Up'!L25</f>
        <v>45</v>
      </c>
      <c r="J20" s="46">
        <f>I20*H20*N41</f>
        <v>11.157074999999999</v>
      </c>
      <c r="K20" s="6"/>
      <c r="L20" s="2">
        <f>2000*F20</f>
        <v>480</v>
      </c>
      <c r="M20" s="10"/>
      <c r="N20" s="10"/>
      <c r="O20" s="10"/>
      <c r="P20" s="10"/>
    </row>
    <row r="21" spans="5:16" ht="18.75" x14ac:dyDescent="0.3">
      <c r="E21" s="10" t="s">
        <v>489</v>
      </c>
      <c r="F21" s="43">
        <v>0.17</v>
      </c>
      <c r="G21" s="50">
        <f>'Irrigated Build-Up'!J26</f>
        <v>0</v>
      </c>
      <c r="H21" s="39">
        <f>G21/2000</f>
        <v>0</v>
      </c>
      <c r="I21" s="64">
        <f>'Irrigated Build-Up'!L26</f>
        <v>0</v>
      </c>
      <c r="J21" s="40">
        <f>I21*H21</f>
        <v>0</v>
      </c>
      <c r="K21" s="6"/>
      <c r="L21" s="2">
        <f>2000*F21</f>
        <v>340</v>
      </c>
      <c r="M21" s="10"/>
      <c r="N21" s="10"/>
      <c r="O21" s="10"/>
      <c r="P21" s="10"/>
    </row>
    <row r="22" spans="5:16" ht="18.75" x14ac:dyDescent="0.3">
      <c r="E22" s="10"/>
      <c r="F22" s="37"/>
      <c r="G22" s="37"/>
      <c r="H22" s="37"/>
      <c r="I22" s="37"/>
      <c r="J22" s="39">
        <f>SUM(J14:J21)</f>
        <v>116.65885624999999</v>
      </c>
      <c r="K22" s="2"/>
      <c r="L22" s="10"/>
      <c r="M22" s="10"/>
      <c r="N22" s="10"/>
      <c r="O22" s="8"/>
      <c r="P22" s="8">
        <f>SUM(M27:N27)</f>
        <v>1280</v>
      </c>
    </row>
    <row r="23" spans="5:16" ht="18.75" x14ac:dyDescent="0.3">
      <c r="E23" s="10"/>
      <c r="F23" s="37"/>
      <c r="G23" s="37"/>
      <c r="H23" s="37"/>
      <c r="I23" s="8"/>
      <c r="J23" s="8"/>
      <c r="K23" s="2"/>
      <c r="L23" s="10"/>
      <c r="M23" s="10"/>
      <c r="N23" s="10"/>
      <c r="O23" s="8"/>
      <c r="P23" s="8">
        <f>SUM(M28:N28)</f>
        <v>1</v>
      </c>
    </row>
    <row r="24" spans="5:16" ht="18.75" x14ac:dyDescent="0.3">
      <c r="E24" s="10"/>
      <c r="F24" s="42"/>
      <c r="G24" s="42"/>
      <c r="H24" s="37"/>
      <c r="I24" s="43" t="s">
        <v>414</v>
      </c>
      <c r="J24" s="47">
        <f>J12+J22</f>
        <v>293.50304</v>
      </c>
      <c r="K24" s="2"/>
      <c r="L24" s="10"/>
      <c r="M24" s="7"/>
      <c r="N24" s="7"/>
      <c r="O24" s="7"/>
      <c r="P24" s="7"/>
    </row>
    <row r="25" spans="5:16" ht="18.75" x14ac:dyDescent="0.3">
      <c r="E25" s="10"/>
      <c r="F25" s="37"/>
      <c r="G25" s="37"/>
      <c r="H25" s="37"/>
      <c r="I25" s="37"/>
      <c r="J25" s="37"/>
      <c r="K25" s="6"/>
      <c r="L25" s="7"/>
      <c r="M25" s="7"/>
      <c r="N25" s="7"/>
      <c r="O25" s="7"/>
      <c r="P25" s="7"/>
    </row>
    <row r="26" spans="5:16" ht="18.75" x14ac:dyDescent="0.3">
      <c r="E26" s="10"/>
      <c r="F26" s="37"/>
      <c r="G26" s="37"/>
      <c r="H26" s="37"/>
      <c r="I26" s="37"/>
      <c r="J26" s="37"/>
      <c r="K26" s="6"/>
      <c r="L26" s="7"/>
      <c r="M26" s="7"/>
      <c r="N26" s="7"/>
      <c r="O26" s="7"/>
      <c r="P26" s="7"/>
    </row>
    <row r="27" spans="5:16" ht="18.75" x14ac:dyDescent="0.3">
      <c r="E27" s="277" t="s">
        <v>415</v>
      </c>
      <c r="F27" s="278"/>
      <c r="G27" s="278"/>
      <c r="H27" s="278"/>
      <c r="I27" s="278"/>
      <c r="J27" s="279"/>
      <c r="K27" s="6"/>
      <c r="L27" s="7"/>
      <c r="M27" s="8">
        <f>2000*(F29/100)</f>
        <v>360</v>
      </c>
      <c r="N27" s="8">
        <f>2000*(G29/100)</f>
        <v>920</v>
      </c>
      <c r="O27" s="7"/>
      <c r="P27" s="7"/>
    </row>
    <row r="28" spans="5:16" ht="18.75" x14ac:dyDescent="0.3">
      <c r="E28" s="10"/>
      <c r="F28" s="37" t="s">
        <v>51</v>
      </c>
      <c r="G28" s="37" t="s">
        <v>52</v>
      </c>
      <c r="H28" s="37" t="s">
        <v>416</v>
      </c>
      <c r="I28" s="37"/>
      <c r="J28" s="37"/>
      <c r="K28" s="6"/>
      <c r="L28" s="7"/>
      <c r="M28" s="53">
        <f>M27/(M27+N27)</f>
        <v>0.28125</v>
      </c>
      <c r="N28" s="53">
        <f>N27/(M27+N27)</f>
        <v>0.71875</v>
      </c>
      <c r="O28" s="7"/>
      <c r="P28" s="7"/>
    </row>
    <row r="29" spans="5:16" ht="18.75" x14ac:dyDescent="0.3">
      <c r="E29" s="10"/>
      <c r="F29" s="48">
        <f>F9*100</f>
        <v>18</v>
      </c>
      <c r="G29" s="48">
        <f>F15*100</f>
        <v>46</v>
      </c>
      <c r="H29" s="236">
        <f>'Irrigated Build-Up'!J20</f>
        <v>857</v>
      </c>
      <c r="I29" s="37"/>
      <c r="J29" s="37"/>
      <c r="K29" s="6"/>
      <c r="L29" s="7" t="s">
        <v>364</v>
      </c>
      <c r="M29" s="7"/>
      <c r="N29" s="7"/>
      <c r="O29" s="7"/>
      <c r="P29" s="7"/>
    </row>
    <row r="30" spans="5:16" ht="18.75" x14ac:dyDescent="0.3">
      <c r="E30" s="10" t="s">
        <v>410</v>
      </c>
      <c r="F30" s="50">
        <f>H4</f>
        <v>0.42649999999999999</v>
      </c>
      <c r="G30" s="28">
        <f>G31/N27</f>
        <v>0.76463043478260873</v>
      </c>
      <c r="H30" s="42"/>
      <c r="I30" s="37"/>
      <c r="J30" s="37"/>
      <c r="K30" s="6"/>
      <c r="L30" s="7" t="s">
        <v>365</v>
      </c>
      <c r="M30" s="7"/>
      <c r="N30" s="7"/>
      <c r="O30" s="7"/>
      <c r="P30" s="7"/>
    </row>
    <row r="31" spans="5:16" ht="18.75" x14ac:dyDescent="0.3">
      <c r="E31" s="10" t="s">
        <v>409</v>
      </c>
      <c r="F31" s="28">
        <f>M27*F30</f>
        <v>153.54</v>
      </c>
      <c r="G31" s="28">
        <f>H29-F31</f>
        <v>703.46</v>
      </c>
      <c r="H31" s="28">
        <f>SUM(F31:G31)</f>
        <v>857</v>
      </c>
      <c r="I31" s="57">
        <f>H31/2000</f>
        <v>0.42849999999999999</v>
      </c>
      <c r="J31" s="42"/>
      <c r="K31" s="6"/>
      <c r="L31" s="7"/>
      <c r="M31" s="7"/>
      <c r="N31" s="7"/>
      <c r="O31" s="7"/>
      <c r="P31" s="7"/>
    </row>
    <row r="32" spans="5:16" ht="18.75" x14ac:dyDescent="0.3">
      <c r="E32" s="7"/>
      <c r="F32" s="44"/>
      <c r="G32" s="44"/>
      <c r="H32" s="44"/>
      <c r="I32" s="44"/>
      <c r="J32" s="44"/>
      <c r="K32" s="6"/>
      <c r="L32" s="7"/>
      <c r="M32" s="8">
        <f>2000*(F34/100)</f>
        <v>220</v>
      </c>
      <c r="N32" s="8">
        <f>2000*(G34/100)</f>
        <v>1040</v>
      </c>
      <c r="O32" s="7"/>
      <c r="P32" s="7"/>
    </row>
    <row r="33" spans="5:16" ht="18.75" x14ac:dyDescent="0.3">
      <c r="E33" s="10"/>
      <c r="F33" s="37" t="s">
        <v>51</v>
      </c>
      <c r="G33" s="37" t="s">
        <v>52</v>
      </c>
      <c r="H33" s="37" t="s">
        <v>416</v>
      </c>
      <c r="I33" s="37"/>
      <c r="J33" s="37"/>
      <c r="K33" s="6"/>
      <c r="L33" s="7"/>
      <c r="M33" s="53">
        <f>M32/(M32+N32)</f>
        <v>0.17460317460317459</v>
      </c>
      <c r="N33" s="53">
        <f>N32/(M32+N32)</f>
        <v>0.82539682539682535</v>
      </c>
      <c r="O33" s="7"/>
      <c r="P33" s="7"/>
    </row>
    <row r="34" spans="5:16" ht="18.75" x14ac:dyDescent="0.3">
      <c r="E34" s="10"/>
      <c r="F34" s="48">
        <f>F10*100</f>
        <v>11</v>
      </c>
      <c r="G34" s="48">
        <f>F16*100</f>
        <v>52</v>
      </c>
      <c r="H34" s="236">
        <f>'Irrigated Build-Up'!J21</f>
        <v>894</v>
      </c>
      <c r="I34" s="37"/>
      <c r="J34" s="37"/>
      <c r="K34" s="6"/>
      <c r="L34" s="7" t="s">
        <v>364</v>
      </c>
      <c r="M34" s="7"/>
      <c r="N34" s="7"/>
      <c r="O34" s="7"/>
      <c r="P34" s="7"/>
    </row>
    <row r="35" spans="5:16" ht="18.75" x14ac:dyDescent="0.3">
      <c r="E35" s="10" t="s">
        <v>410</v>
      </c>
      <c r="F35" s="50">
        <f>H4</f>
        <v>0.42649999999999999</v>
      </c>
      <c r="G35" s="28">
        <f>G36/N32</f>
        <v>0.76939423076923075</v>
      </c>
      <c r="H35" s="42"/>
      <c r="I35" s="37"/>
      <c r="J35" s="37"/>
      <c r="K35" s="6"/>
      <c r="L35" s="7" t="s">
        <v>365</v>
      </c>
      <c r="M35" s="7"/>
      <c r="N35" s="7"/>
      <c r="O35" s="7"/>
      <c r="P35" s="7"/>
    </row>
    <row r="36" spans="5:16" ht="18.75" x14ac:dyDescent="0.3">
      <c r="E36" s="10" t="s">
        <v>409</v>
      </c>
      <c r="F36" s="28">
        <f>M32*F35</f>
        <v>93.83</v>
      </c>
      <c r="G36" s="28">
        <f>H34-F36</f>
        <v>800.17</v>
      </c>
      <c r="H36" s="28">
        <f>SUM(F36:G36)</f>
        <v>894</v>
      </c>
      <c r="I36" s="57">
        <f>H36/2000</f>
        <v>0.44700000000000001</v>
      </c>
      <c r="J36" s="42"/>
      <c r="K36" s="6"/>
      <c r="L36" s="7"/>
      <c r="M36" s="7"/>
      <c r="N36" s="7"/>
      <c r="O36" s="7"/>
      <c r="P36" s="7"/>
    </row>
    <row r="37" spans="5:16" ht="18.75" x14ac:dyDescent="0.3">
      <c r="E37" s="6"/>
      <c r="F37" s="8"/>
      <c r="G37" s="8"/>
      <c r="H37" s="8"/>
      <c r="I37" s="8"/>
      <c r="J37" s="8"/>
      <c r="K37" s="6"/>
      <c r="L37" s="7"/>
      <c r="M37" s="7"/>
      <c r="N37" s="7"/>
      <c r="O37" s="7"/>
      <c r="P37" s="7"/>
    </row>
    <row r="38" spans="5:16" ht="18.75" x14ac:dyDescent="0.3">
      <c r="E38" s="6"/>
      <c r="F38" s="8"/>
      <c r="G38" s="8"/>
      <c r="H38" s="8"/>
      <c r="I38" s="8"/>
      <c r="J38" s="8"/>
      <c r="K38" s="6"/>
      <c r="L38" s="7"/>
      <c r="M38" s="7"/>
      <c r="N38" s="7"/>
      <c r="O38" s="7"/>
      <c r="P38" s="7"/>
    </row>
    <row r="39" spans="5:16" ht="18.75" x14ac:dyDescent="0.3">
      <c r="E39" s="277" t="s">
        <v>417</v>
      </c>
      <c r="F39" s="278"/>
      <c r="G39" s="278"/>
      <c r="H39" s="278"/>
      <c r="I39" s="278"/>
      <c r="J39" s="279"/>
      <c r="K39" s="6"/>
      <c r="L39" s="7"/>
      <c r="M39" s="7"/>
      <c r="N39" s="7"/>
      <c r="O39" s="7"/>
      <c r="P39" s="7"/>
    </row>
    <row r="40" spans="5:16" ht="18.75" x14ac:dyDescent="0.3">
      <c r="E40" s="10"/>
      <c r="F40" s="37" t="s">
        <v>51</v>
      </c>
      <c r="G40" s="37" t="s">
        <v>53</v>
      </c>
      <c r="H40" s="37" t="s">
        <v>416</v>
      </c>
      <c r="I40" s="37"/>
      <c r="J40" s="37"/>
      <c r="K40" s="6"/>
      <c r="L40" s="7"/>
      <c r="M40" s="8">
        <f>2000*(F41/100)</f>
        <v>420</v>
      </c>
      <c r="N40" s="8">
        <f>2000*(G41/100)</f>
        <v>480</v>
      </c>
      <c r="O40" s="7"/>
      <c r="P40" s="7"/>
    </row>
    <row r="41" spans="5:16" ht="18.75" x14ac:dyDescent="0.3">
      <c r="E41" s="10" t="s">
        <v>490</v>
      </c>
      <c r="F41" s="48">
        <f>F11*100</f>
        <v>21</v>
      </c>
      <c r="G41" s="48">
        <f>F20*100</f>
        <v>24</v>
      </c>
      <c r="H41" s="236">
        <f>'Irrigated Build-Up'!J25</f>
        <v>675</v>
      </c>
      <c r="I41" s="37"/>
      <c r="J41" s="37"/>
      <c r="K41" s="6"/>
      <c r="L41" s="7"/>
      <c r="M41" s="53">
        <f>M40/(M40+N40)</f>
        <v>0.46666666666666667</v>
      </c>
      <c r="N41" s="53">
        <f>N40/(M40+N40)</f>
        <v>0.53333333333333333</v>
      </c>
      <c r="O41" s="7"/>
      <c r="P41" s="7"/>
    </row>
    <row r="42" spans="5:16" ht="18.75" x14ac:dyDescent="0.3">
      <c r="E42" s="10" t="s">
        <v>410</v>
      </c>
      <c r="F42" s="50">
        <f>H4</f>
        <v>0.42649999999999999</v>
      </c>
      <c r="G42" s="27">
        <f>G43/N40</f>
        <v>1.0330625</v>
      </c>
      <c r="H42" s="43"/>
      <c r="I42" s="37"/>
      <c r="J42" s="37"/>
      <c r="K42" s="6"/>
      <c r="L42" s="7" t="s">
        <v>364</v>
      </c>
      <c r="M42" s="7"/>
      <c r="N42" s="7"/>
      <c r="O42" s="7"/>
      <c r="P42" s="7"/>
    </row>
    <row r="43" spans="5:16" ht="18.75" x14ac:dyDescent="0.3">
      <c r="E43" s="10" t="s">
        <v>409</v>
      </c>
      <c r="F43" s="28">
        <f>M40*F42</f>
        <v>179.13</v>
      </c>
      <c r="G43" s="28">
        <f>H41-F43</f>
        <v>495.87</v>
      </c>
      <c r="H43" s="28">
        <f>SUM(F43:G43)</f>
        <v>675</v>
      </c>
      <c r="I43" s="42"/>
      <c r="J43" s="42"/>
      <c r="K43" s="6"/>
      <c r="L43" s="7" t="s">
        <v>365</v>
      </c>
      <c r="M43" s="7"/>
      <c r="N43" s="7"/>
      <c r="O43" s="7"/>
      <c r="P43" s="7"/>
    </row>
    <row r="44" spans="5:16" ht="18.75" x14ac:dyDescent="0.3">
      <c r="E44" s="7"/>
      <c r="F44" s="44"/>
      <c r="G44" s="44"/>
      <c r="H44" s="44"/>
      <c r="I44" s="44"/>
      <c r="J44" s="44"/>
      <c r="K44" s="6"/>
      <c r="L44" s="7"/>
      <c r="M44" s="7"/>
      <c r="N44" s="7"/>
    </row>
    <row r="45" spans="5:16" ht="18.75" x14ac:dyDescent="0.3">
      <c r="E45" s="10"/>
      <c r="F45" s="37" t="s">
        <v>51</v>
      </c>
      <c r="G45" s="37" t="s">
        <v>53</v>
      </c>
      <c r="H45" s="37" t="s">
        <v>416</v>
      </c>
      <c r="I45" s="37"/>
      <c r="J45" s="37"/>
      <c r="K45" s="6"/>
      <c r="L45" s="7"/>
      <c r="M45" s="8">
        <f>2000*(F46/100)</f>
        <v>240</v>
      </c>
      <c r="N45" s="8">
        <f>2000*(G46/100)</f>
        <v>520</v>
      </c>
    </row>
    <row r="46" spans="5:16" ht="18.75" x14ac:dyDescent="0.3">
      <c r="E46" s="10" t="s">
        <v>491</v>
      </c>
      <c r="F46" s="48">
        <v>12</v>
      </c>
      <c r="G46" s="48">
        <v>26</v>
      </c>
      <c r="H46" s="236">
        <f>'Irrigated Build-Up'!J18</f>
        <v>550</v>
      </c>
      <c r="I46" s="37"/>
      <c r="J46" s="37"/>
      <c r="K46" s="6"/>
      <c r="L46" s="7"/>
      <c r="M46" s="53">
        <f>M45/(M45+N45)</f>
        <v>0.31578947368421051</v>
      </c>
      <c r="N46" s="53">
        <f>N45/(M45+N45)</f>
        <v>0.68421052631578949</v>
      </c>
    </row>
    <row r="47" spans="5:16" ht="18.75" x14ac:dyDescent="0.3">
      <c r="E47" s="10" t="s">
        <v>410</v>
      </c>
      <c r="F47" s="50">
        <f>H11</f>
        <v>0.19192499999999998</v>
      </c>
      <c r="G47" s="51">
        <f>G48/N45</f>
        <v>0.96911153846153841</v>
      </c>
      <c r="H47" s="43"/>
      <c r="I47" s="37"/>
      <c r="J47" s="37"/>
      <c r="K47" s="6"/>
      <c r="L47" s="7" t="s">
        <v>364</v>
      </c>
      <c r="M47" s="7"/>
      <c r="N47" s="7"/>
    </row>
    <row r="48" spans="5:16" ht="18.75" x14ac:dyDescent="0.3">
      <c r="E48" s="10" t="s">
        <v>409</v>
      </c>
      <c r="F48" s="28">
        <f>M45*F47</f>
        <v>46.061999999999998</v>
      </c>
      <c r="G48" s="28">
        <f>H46-F48</f>
        <v>503.93799999999999</v>
      </c>
      <c r="H48" s="28">
        <f>SUM(F48:G48)</f>
        <v>550</v>
      </c>
      <c r="I48" s="42"/>
      <c r="J48" s="42"/>
      <c r="K48" s="6"/>
      <c r="L48" s="7" t="s">
        <v>365</v>
      </c>
    </row>
  </sheetData>
  <mergeCells count="2">
    <mergeCell ref="E27:J27"/>
    <mergeCell ref="E39:J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FCC35-FC4B-467C-8B5D-01B52EA9388E}">
  <dimension ref="E2:S48"/>
  <sheetViews>
    <sheetView workbookViewId="0">
      <selection activeCell="P27" sqref="P27"/>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408</v>
      </c>
      <c r="G2" s="37" t="s">
        <v>409</v>
      </c>
      <c r="H2" s="37" t="s">
        <v>429</v>
      </c>
      <c r="I2" s="37" t="s">
        <v>411</v>
      </c>
      <c r="J2" s="37" t="s">
        <v>404</v>
      </c>
      <c r="K2" s="6"/>
      <c r="L2" s="7"/>
      <c r="M2" s="7"/>
      <c r="N2" s="7"/>
      <c r="O2" s="7"/>
      <c r="P2" s="7"/>
    </row>
    <row r="3" spans="5:19" ht="18.75" x14ac:dyDescent="0.3">
      <c r="E3" s="10"/>
      <c r="F3" s="38" t="s">
        <v>60</v>
      </c>
      <c r="G3" s="38" t="s">
        <v>60</v>
      </c>
      <c r="H3" s="54" t="s">
        <v>430</v>
      </c>
      <c r="I3" s="38" t="s">
        <v>60</v>
      </c>
      <c r="J3" s="37"/>
      <c r="K3" s="2"/>
      <c r="L3" s="10"/>
      <c r="M3" s="10"/>
      <c r="N3" s="10"/>
      <c r="O3" s="10"/>
      <c r="P3" s="10"/>
    </row>
    <row r="4" spans="5:19" ht="18.75" x14ac:dyDescent="0.3">
      <c r="E4" s="10" t="s">
        <v>419</v>
      </c>
      <c r="F4" s="48">
        <v>0.46</v>
      </c>
      <c r="G4" s="50">
        <f>'Non-Irrigated Push Production'!J19</f>
        <v>853</v>
      </c>
      <c r="H4" s="39">
        <f>G4/2000</f>
        <v>0.42649999999999999</v>
      </c>
      <c r="I4" s="48">
        <f>'Non-Irrigated Push Production'!L19</f>
        <v>0</v>
      </c>
      <c r="J4" s="39">
        <f>I4*H4</f>
        <v>0</v>
      </c>
      <c r="K4" s="6"/>
      <c r="L4" s="2">
        <f>2000*F4</f>
        <v>920</v>
      </c>
      <c r="M4" s="7"/>
      <c r="N4" s="7"/>
      <c r="O4" s="10"/>
      <c r="P4" s="42" t="s">
        <v>484</v>
      </c>
      <c r="Q4" s="42" t="s">
        <v>52</v>
      </c>
      <c r="R4" s="42" t="s">
        <v>442</v>
      </c>
      <c r="S4" s="42" t="s">
        <v>53</v>
      </c>
    </row>
    <row r="5" spans="5:19" ht="18.75" x14ac:dyDescent="0.3">
      <c r="E5" s="10" t="s">
        <v>420</v>
      </c>
      <c r="F5" s="48">
        <v>0.28000000000000003</v>
      </c>
      <c r="G5" s="50">
        <f>'Non-Irrigated Push Production'!J16</f>
        <v>513</v>
      </c>
      <c r="H5" s="39"/>
      <c r="I5" s="48">
        <f>'Non-Irrigated Push Production'!L16</f>
        <v>36</v>
      </c>
      <c r="J5" s="39">
        <f>L5*'Non-Irrigated Push Production'!L16*G5</f>
        <v>98.526780000000002</v>
      </c>
      <c r="K5" s="6"/>
      <c r="L5" s="2">
        <f>10.67/2000</f>
        <v>5.3350000000000003E-3</v>
      </c>
      <c r="M5" s="7"/>
      <c r="N5" s="7"/>
      <c r="O5" s="10"/>
      <c r="P5" s="56">
        <f>(I5*10.67*F5)+(I4*F4)+(I11*F11)+(F7*11.04*I7)+(I9*F9)+(I10*F10)+(I8*11.7*F8)+(I6*F6)</f>
        <v>140.9136</v>
      </c>
      <c r="Q5" s="42">
        <f>(I15*F15)+(F16*I16)+(F14*11.7*I14)</f>
        <v>68.19</v>
      </c>
      <c r="R5" s="42">
        <f>(I17*F17)+(F18*I18)</f>
        <v>39</v>
      </c>
      <c r="S5" s="42">
        <f>(I20*F20)+(F19*11.04*I19)+(F21*I21)</f>
        <v>9.84</v>
      </c>
    </row>
    <row r="6" spans="5:19" ht="18.75" x14ac:dyDescent="0.3">
      <c r="E6" s="10" t="s">
        <v>577</v>
      </c>
      <c r="F6" s="48">
        <v>0.82</v>
      </c>
      <c r="G6" s="50">
        <f>'Non-Irrigated Push Production'!J17</f>
        <v>1100</v>
      </c>
      <c r="H6" s="39">
        <f>G6/2000</f>
        <v>0.55000000000000004</v>
      </c>
      <c r="I6" s="48">
        <f>'Non-Irrigated Push Production'!L17</f>
        <v>0</v>
      </c>
      <c r="J6" s="39">
        <f>I6*H6</f>
        <v>0</v>
      </c>
      <c r="K6" s="6"/>
      <c r="L6" s="2">
        <f>2000*F6</f>
        <v>1640</v>
      </c>
      <c r="M6" s="7"/>
      <c r="N6" s="7"/>
      <c r="O6" s="10"/>
      <c r="P6" s="56"/>
      <c r="Q6" s="42"/>
      <c r="R6" s="42"/>
      <c r="S6" s="42"/>
    </row>
    <row r="7" spans="5:19" ht="18.75" x14ac:dyDescent="0.3">
      <c r="E7" s="10" t="s">
        <v>448</v>
      </c>
      <c r="F7" s="48">
        <v>0.12</v>
      </c>
      <c r="G7" s="50">
        <f>'Non-Irrigated Push Production'!J18</f>
        <v>550</v>
      </c>
      <c r="H7" s="39">
        <f>G7/(2000*M46)</f>
        <v>0.87083333333333335</v>
      </c>
      <c r="I7" s="52">
        <f>'Non-Irrigated Push Production'!L18</f>
        <v>0</v>
      </c>
      <c r="J7" s="39">
        <f>L7*'Non-Irrigated Push Production'!L18*G7</f>
        <v>0</v>
      </c>
      <c r="K7" s="6"/>
      <c r="L7" s="2">
        <f>11.04/2000</f>
        <v>5.5199999999999997E-3</v>
      </c>
      <c r="M7" s="7"/>
      <c r="N7" s="7"/>
      <c r="O7" s="10"/>
      <c r="P7" s="56"/>
      <c r="Q7" s="7"/>
      <c r="R7" s="7"/>
      <c r="S7" s="7"/>
    </row>
    <row r="8" spans="5:19" ht="18.75" x14ac:dyDescent="0.3">
      <c r="E8" s="10" t="s">
        <v>485</v>
      </c>
      <c r="F8" s="48">
        <v>0.1</v>
      </c>
      <c r="G8" s="50">
        <f>'Non-Irrigated Push Production'!J22</f>
        <v>700</v>
      </c>
      <c r="H8" s="39"/>
      <c r="I8" s="48">
        <f>'Non-Irrigated Push Production'!L22</f>
        <v>5</v>
      </c>
      <c r="J8" s="39">
        <f>L8*'Non-Irrigated Push Production'!L22*G8</f>
        <v>20.474999999999998</v>
      </c>
      <c r="K8" s="6"/>
      <c r="L8" s="2">
        <f>11.7/2000</f>
        <v>5.8499999999999993E-3</v>
      </c>
      <c r="M8" s="10"/>
      <c r="N8" s="10"/>
      <c r="O8" s="10"/>
      <c r="P8" s="10"/>
    </row>
    <row r="9" spans="5:19" ht="18.75" x14ac:dyDescent="0.3">
      <c r="E9" s="10" t="s">
        <v>422</v>
      </c>
      <c r="F9" s="48">
        <v>0.18</v>
      </c>
      <c r="G9" s="50">
        <f>F31</f>
        <v>153.54</v>
      </c>
      <c r="H9" s="39">
        <f>I31</f>
        <v>0.42849999999999999</v>
      </c>
      <c r="I9" s="48">
        <f>'Non-Irrigated Push Production'!L20</f>
        <v>105</v>
      </c>
      <c r="J9" s="40">
        <f>I9*H9*M28</f>
        <v>12.654140625</v>
      </c>
      <c r="K9" s="6"/>
      <c r="L9" s="2">
        <f>2000*F15</f>
        <v>920</v>
      </c>
      <c r="M9" s="10"/>
      <c r="N9" s="10"/>
      <c r="O9" s="10"/>
      <c r="P9" s="10"/>
    </row>
    <row r="10" spans="5:19" ht="18.75" x14ac:dyDescent="0.3">
      <c r="E10" s="10" t="s">
        <v>423</v>
      </c>
      <c r="F10" s="48">
        <v>0.11</v>
      </c>
      <c r="G10" s="50">
        <f>F36</f>
        <v>93.83</v>
      </c>
      <c r="H10" s="39">
        <f>I36</f>
        <v>0.44700000000000001</v>
      </c>
      <c r="I10" s="48">
        <f>'Non-Irrigated Push Production'!L21</f>
        <v>0</v>
      </c>
      <c r="J10" s="40">
        <f>I10*H10*M33</f>
        <v>0</v>
      </c>
      <c r="K10" s="6"/>
      <c r="L10" s="2">
        <f>2000*F16</f>
        <v>1040</v>
      </c>
      <c r="M10" s="10"/>
      <c r="N10" s="10"/>
      <c r="O10" s="10"/>
      <c r="P10" s="10"/>
    </row>
    <row r="11" spans="5:19" ht="18.75" x14ac:dyDescent="0.3">
      <c r="E11" s="10" t="s">
        <v>412</v>
      </c>
      <c r="F11" s="48">
        <v>0.21</v>
      </c>
      <c r="G11" s="50">
        <f>F43</f>
        <v>179.13</v>
      </c>
      <c r="H11" s="39">
        <f>G11/(2000*M41)</f>
        <v>0.19192499999999998</v>
      </c>
      <c r="I11" s="52">
        <f>'Non-Irrigated Push Production'!L25</f>
        <v>41</v>
      </c>
      <c r="J11" s="41">
        <f>I11*H11*M41</f>
        <v>3.6721649999999997</v>
      </c>
      <c r="K11" s="6"/>
      <c r="L11" s="2">
        <f>2000*F11</f>
        <v>420</v>
      </c>
      <c r="M11" s="10"/>
      <c r="N11" s="10"/>
      <c r="O11" s="10"/>
      <c r="P11" s="10"/>
    </row>
    <row r="12" spans="5:19" ht="18.75" x14ac:dyDescent="0.3">
      <c r="E12" s="10"/>
      <c r="F12" s="51"/>
      <c r="G12" s="51"/>
      <c r="H12" s="37"/>
      <c r="I12" s="51"/>
      <c r="J12" s="39">
        <f>SUM(J4:J11)</f>
        <v>135.328085625</v>
      </c>
      <c r="K12" s="6"/>
      <c r="L12" s="2"/>
      <c r="M12" s="10"/>
      <c r="N12" s="10"/>
      <c r="O12" s="10"/>
      <c r="P12" s="10"/>
    </row>
    <row r="13" spans="5:19" ht="18.75" x14ac:dyDescent="0.3">
      <c r="E13" s="10"/>
      <c r="F13" s="51"/>
      <c r="G13" s="51"/>
      <c r="H13" s="37"/>
      <c r="I13" s="51"/>
      <c r="J13" s="39"/>
      <c r="K13" s="6"/>
      <c r="L13" s="2"/>
      <c r="M13" s="10"/>
      <c r="N13" s="10"/>
      <c r="O13" s="10"/>
      <c r="P13" s="10"/>
    </row>
    <row r="14" spans="5:19" ht="18.75" x14ac:dyDescent="0.3">
      <c r="E14" s="10" t="s">
        <v>486</v>
      </c>
      <c r="F14" s="48">
        <v>0.34</v>
      </c>
      <c r="G14" s="50">
        <f>'Non-Irrigated Push Production'!J22</f>
        <v>700</v>
      </c>
      <c r="H14" s="39"/>
      <c r="I14" s="48">
        <f>'Non-Irrigated Push Production'!L22</f>
        <v>5</v>
      </c>
      <c r="J14" s="39">
        <f>L14*'Non-Irrigated Push Production'!L22*G14</f>
        <v>20.474999999999998</v>
      </c>
      <c r="K14" s="6"/>
      <c r="L14" s="2">
        <f>11.7/2000</f>
        <v>5.8499999999999993E-3</v>
      </c>
      <c r="M14" s="10"/>
      <c r="N14" s="10"/>
      <c r="O14" s="10"/>
      <c r="P14" s="10"/>
    </row>
    <row r="15" spans="5:19" ht="18.75" x14ac:dyDescent="0.3">
      <c r="E15" s="10" t="s">
        <v>421</v>
      </c>
      <c r="F15" s="48">
        <v>0.46</v>
      </c>
      <c r="G15" s="50">
        <f>G31</f>
        <v>703.46</v>
      </c>
      <c r="H15" s="39">
        <f>I31</f>
        <v>0.42849999999999999</v>
      </c>
      <c r="I15" s="48">
        <f>'Non-Irrigated Push Production'!L20</f>
        <v>105</v>
      </c>
      <c r="J15" s="39">
        <f>I15*H15*N28</f>
        <v>32.338359375000003</v>
      </c>
      <c r="K15" s="6"/>
      <c r="L15" s="2">
        <f>2000*F9</f>
        <v>360</v>
      </c>
      <c r="M15" s="10"/>
      <c r="N15" s="10"/>
      <c r="O15" s="10"/>
      <c r="P15" s="10"/>
    </row>
    <row r="16" spans="5:19" ht="18.75" x14ac:dyDescent="0.3">
      <c r="E16" s="10" t="s">
        <v>428</v>
      </c>
      <c r="F16" s="48">
        <v>0.52</v>
      </c>
      <c r="G16" s="50">
        <f>G36</f>
        <v>800.17</v>
      </c>
      <c r="H16" s="39">
        <f>I36</f>
        <v>0.44700000000000001</v>
      </c>
      <c r="I16" s="48">
        <f>'Non-Irrigated Push Production'!L21</f>
        <v>0</v>
      </c>
      <c r="J16" s="39">
        <f>I16*H16*N33</f>
        <v>0</v>
      </c>
      <c r="K16" s="6"/>
      <c r="L16" s="2">
        <f>2000*F11</f>
        <v>420</v>
      </c>
      <c r="M16" s="10"/>
      <c r="N16" s="10"/>
      <c r="O16" s="10"/>
      <c r="P16" s="10"/>
    </row>
    <row r="17" spans="5:16" ht="18.75" x14ac:dyDescent="0.3">
      <c r="E17" s="10" t="s">
        <v>413</v>
      </c>
      <c r="F17" s="52">
        <v>0.6</v>
      </c>
      <c r="G17" s="50">
        <f>'Non-Irrigated Push Production'!J23</f>
        <v>503</v>
      </c>
      <c r="H17" s="39">
        <f>G17/2000</f>
        <v>0.2515</v>
      </c>
      <c r="I17" s="48">
        <f>'Non-Irrigated Push Production'!L23</f>
        <v>65</v>
      </c>
      <c r="J17" s="40">
        <f>I17*H17</f>
        <v>16.3475</v>
      </c>
      <c r="K17" s="6"/>
      <c r="L17" s="2">
        <f>2000*F17</f>
        <v>1200</v>
      </c>
      <c r="M17" s="10"/>
      <c r="N17" s="10"/>
      <c r="O17" s="10"/>
      <c r="P17" s="10"/>
    </row>
    <row r="18" spans="5:16" ht="18.75" x14ac:dyDescent="0.3">
      <c r="E18" s="10" t="s">
        <v>487</v>
      </c>
      <c r="F18" s="52">
        <v>0.22</v>
      </c>
      <c r="G18" s="50">
        <f>'Non-Irrigated Push Production'!J24</f>
        <v>0</v>
      </c>
      <c r="H18" s="39">
        <f>G18/2000</f>
        <v>0</v>
      </c>
      <c r="I18" s="48">
        <f>'Non-Irrigated Push Production'!L24</f>
        <v>0</v>
      </c>
      <c r="J18" s="40">
        <f>I18*H18</f>
        <v>0</v>
      </c>
      <c r="K18" s="6"/>
      <c r="L18" s="2">
        <f>2000*F18</f>
        <v>440</v>
      </c>
      <c r="M18" s="10"/>
      <c r="N18" s="10"/>
      <c r="O18" s="10"/>
      <c r="P18" s="10"/>
    </row>
    <row r="19" spans="5:16" ht="18.75" x14ac:dyDescent="0.3">
      <c r="E19" s="10" t="s">
        <v>450</v>
      </c>
      <c r="F19" s="48">
        <v>0.26</v>
      </c>
      <c r="G19" s="50">
        <f>G48</f>
        <v>503.93799999999999</v>
      </c>
      <c r="H19" s="39">
        <f>G19/(2000*N45)</f>
        <v>4.8455576923076921E-4</v>
      </c>
      <c r="I19" s="52">
        <f>'Non-Irrigated Push Production'!L18</f>
        <v>0</v>
      </c>
      <c r="J19" s="46">
        <f>I19*H19*N40</f>
        <v>0</v>
      </c>
      <c r="K19" s="6"/>
      <c r="L19" s="2">
        <f>2000*F19</f>
        <v>520</v>
      </c>
      <c r="M19" s="10"/>
      <c r="N19" s="10"/>
      <c r="O19" s="10"/>
      <c r="P19" s="10"/>
    </row>
    <row r="20" spans="5:16" ht="18.75" x14ac:dyDescent="0.3">
      <c r="E20" s="10" t="s">
        <v>449</v>
      </c>
      <c r="F20" s="48">
        <v>0.24</v>
      </c>
      <c r="G20" s="50">
        <f>G43</f>
        <v>495.87</v>
      </c>
      <c r="H20" s="39">
        <f>G20/(2000*N41)</f>
        <v>0.46487812499999998</v>
      </c>
      <c r="I20" s="52">
        <f>'Non-Irrigated Push Production'!L25</f>
        <v>41</v>
      </c>
      <c r="J20" s="46">
        <f>I20*H20*N41</f>
        <v>10.165334999999999</v>
      </c>
      <c r="K20" s="6"/>
      <c r="L20" s="2">
        <f>2000*F20</f>
        <v>480</v>
      </c>
      <c r="M20" s="10"/>
      <c r="N20" s="10"/>
      <c r="O20" s="10"/>
      <c r="P20" s="10"/>
    </row>
    <row r="21" spans="5:16" ht="18.75" x14ac:dyDescent="0.3">
      <c r="E21" s="10" t="s">
        <v>489</v>
      </c>
      <c r="F21" s="43">
        <v>0.17</v>
      </c>
      <c r="G21" s="50">
        <f>'Non-Irrigated Push Production'!J26</f>
        <v>0</v>
      </c>
      <c r="H21" s="39">
        <f>G21/2000</f>
        <v>0</v>
      </c>
      <c r="I21" s="64">
        <f>'Non-Irrigated Push Production'!L26</f>
        <v>0</v>
      </c>
      <c r="J21" s="40">
        <f>I21*H21</f>
        <v>0</v>
      </c>
      <c r="K21" s="6"/>
      <c r="L21" s="2">
        <f>2000*F21</f>
        <v>340</v>
      </c>
      <c r="M21" s="10"/>
      <c r="N21" s="10"/>
      <c r="O21" s="10"/>
      <c r="P21" s="10"/>
    </row>
    <row r="22" spans="5:16" ht="18.75" x14ac:dyDescent="0.3">
      <c r="E22" s="10"/>
      <c r="F22" s="37"/>
      <c r="G22" s="37"/>
      <c r="H22" s="37"/>
      <c r="I22" s="37"/>
      <c r="J22" s="39">
        <f>SUM(J14:J21)</f>
        <v>79.326194375</v>
      </c>
      <c r="K22" s="2"/>
      <c r="L22" s="10"/>
      <c r="M22" s="10"/>
      <c r="N22" s="10"/>
      <c r="O22" s="8"/>
      <c r="P22" s="8">
        <f>SUM(M27:N27)</f>
        <v>1280</v>
      </c>
    </row>
    <row r="23" spans="5:16" ht="18.75" x14ac:dyDescent="0.3">
      <c r="E23" s="10"/>
      <c r="F23" s="37"/>
      <c r="G23" s="37"/>
      <c r="H23" s="37"/>
      <c r="I23" s="8"/>
      <c r="J23" s="8"/>
      <c r="K23" s="2"/>
      <c r="L23" s="10"/>
      <c r="M23" s="10"/>
      <c r="N23" s="10"/>
      <c r="O23" s="8"/>
      <c r="P23" s="8">
        <f>SUM(M28:N28)</f>
        <v>1</v>
      </c>
    </row>
    <row r="24" spans="5:16" ht="18.75" x14ac:dyDescent="0.3">
      <c r="E24" s="10"/>
      <c r="F24" s="42"/>
      <c r="G24" s="42"/>
      <c r="H24" s="37"/>
      <c r="I24" s="43" t="s">
        <v>414</v>
      </c>
      <c r="J24" s="47">
        <f>J12+J22</f>
        <v>214.65428</v>
      </c>
      <c r="K24" s="2"/>
      <c r="L24" s="10"/>
      <c r="M24" s="7"/>
      <c r="N24" s="7"/>
      <c r="O24" s="7"/>
      <c r="P24" s="7"/>
    </row>
    <row r="25" spans="5:16" ht="18.75" x14ac:dyDescent="0.3">
      <c r="E25" s="10"/>
      <c r="F25" s="37"/>
      <c r="G25" s="37"/>
      <c r="H25" s="37"/>
      <c r="I25" s="37"/>
      <c r="J25" s="37"/>
      <c r="K25" s="6"/>
      <c r="L25" s="7"/>
      <c r="M25" s="7"/>
      <c r="N25" s="7"/>
      <c r="O25" s="7"/>
      <c r="P25" s="7"/>
    </row>
    <row r="26" spans="5:16" ht="18.75" x14ac:dyDescent="0.3">
      <c r="E26" s="10"/>
      <c r="F26" s="37"/>
      <c r="G26" s="37"/>
      <c r="H26" s="37"/>
      <c r="I26" s="37"/>
      <c r="J26" s="37"/>
      <c r="K26" s="6"/>
      <c r="L26" s="7"/>
      <c r="M26" s="7"/>
      <c r="N26" s="7"/>
      <c r="O26" s="7"/>
      <c r="P26" s="7"/>
    </row>
    <row r="27" spans="5:16" ht="18.75" x14ac:dyDescent="0.3">
      <c r="E27" s="277" t="s">
        <v>415</v>
      </c>
      <c r="F27" s="278"/>
      <c r="G27" s="278"/>
      <c r="H27" s="278"/>
      <c r="I27" s="278"/>
      <c r="J27" s="279"/>
      <c r="K27" s="6"/>
      <c r="L27" s="7"/>
      <c r="M27" s="8">
        <f>2000*(F29/100)</f>
        <v>360</v>
      </c>
      <c r="N27" s="8">
        <f>2000*(G29/100)</f>
        <v>920</v>
      </c>
      <c r="O27" s="7"/>
      <c r="P27" s="7"/>
    </row>
    <row r="28" spans="5:16" ht="18.75" x14ac:dyDescent="0.3">
      <c r="E28" s="10"/>
      <c r="F28" s="37" t="s">
        <v>51</v>
      </c>
      <c r="G28" s="37" t="s">
        <v>52</v>
      </c>
      <c r="H28" s="37" t="s">
        <v>416</v>
      </c>
      <c r="I28" s="37"/>
      <c r="J28" s="37"/>
      <c r="K28" s="6"/>
      <c r="L28" s="7"/>
      <c r="M28" s="53">
        <f>M27/(M27+N27)</f>
        <v>0.28125</v>
      </c>
      <c r="N28" s="53">
        <f>N27/(M27+N27)</f>
        <v>0.71875</v>
      </c>
      <c r="O28" s="7"/>
      <c r="P28" s="7"/>
    </row>
    <row r="29" spans="5:16" ht="18.75" x14ac:dyDescent="0.3">
      <c r="E29" s="10"/>
      <c r="F29" s="48">
        <f>F9*100</f>
        <v>18</v>
      </c>
      <c r="G29" s="48">
        <f>F15*100</f>
        <v>46</v>
      </c>
      <c r="H29" s="49">
        <f>'Non-Irrigated Push Production'!J20</f>
        <v>857</v>
      </c>
      <c r="I29" s="37"/>
      <c r="J29" s="37"/>
      <c r="K29" s="6"/>
      <c r="L29" s="7" t="s">
        <v>364</v>
      </c>
      <c r="M29" s="7"/>
      <c r="N29" s="7"/>
      <c r="O29" s="7"/>
      <c r="P29" s="7"/>
    </row>
    <row r="30" spans="5:16" ht="18.75" x14ac:dyDescent="0.3">
      <c r="E30" s="10" t="s">
        <v>410</v>
      </c>
      <c r="F30" s="50">
        <f>H4</f>
        <v>0.42649999999999999</v>
      </c>
      <c r="G30" s="28">
        <f>G31/N27</f>
        <v>0.76463043478260873</v>
      </c>
      <c r="H30" s="42"/>
      <c r="I30" s="37"/>
      <c r="J30" s="37"/>
      <c r="K30" s="6"/>
      <c r="L30" s="7" t="s">
        <v>365</v>
      </c>
      <c r="M30" s="7"/>
      <c r="N30" s="7"/>
      <c r="O30" s="7"/>
      <c r="P30" s="7"/>
    </row>
    <row r="31" spans="5:16" ht="18.75" x14ac:dyDescent="0.3">
      <c r="E31" s="10" t="s">
        <v>409</v>
      </c>
      <c r="F31" s="28">
        <f>M27*F30</f>
        <v>153.54</v>
      </c>
      <c r="G31" s="28">
        <f>H29-F31</f>
        <v>703.46</v>
      </c>
      <c r="H31" s="28">
        <f>SUM(F31:G31)</f>
        <v>857</v>
      </c>
      <c r="I31" s="57">
        <f>H31/2000</f>
        <v>0.42849999999999999</v>
      </c>
      <c r="J31" s="42"/>
      <c r="K31" s="6"/>
      <c r="L31" s="7"/>
      <c r="M31" s="7"/>
      <c r="N31" s="7"/>
      <c r="O31" s="7"/>
      <c r="P31" s="7"/>
    </row>
    <row r="32" spans="5:16" ht="18.75" x14ac:dyDescent="0.3">
      <c r="E32" s="7"/>
      <c r="F32" s="44"/>
      <c r="G32" s="44"/>
      <c r="H32" s="44"/>
      <c r="I32" s="44"/>
      <c r="J32" s="44"/>
      <c r="K32" s="6"/>
      <c r="L32" s="7"/>
      <c r="M32" s="8">
        <f>2000*(F34/100)</f>
        <v>220</v>
      </c>
      <c r="N32" s="8">
        <f>2000*(G34/100)</f>
        <v>1040</v>
      </c>
      <c r="O32" s="7"/>
      <c r="P32" s="7"/>
    </row>
    <row r="33" spans="5:16" ht="18.75" x14ac:dyDescent="0.3">
      <c r="E33" s="10"/>
      <c r="F33" s="37" t="s">
        <v>51</v>
      </c>
      <c r="G33" s="37" t="s">
        <v>52</v>
      </c>
      <c r="H33" s="37" t="s">
        <v>416</v>
      </c>
      <c r="I33" s="37"/>
      <c r="J33" s="37"/>
      <c r="K33" s="6"/>
      <c r="L33" s="7"/>
      <c r="M33" s="53">
        <f>M32/(M32+N32)</f>
        <v>0.17460317460317459</v>
      </c>
      <c r="N33" s="53">
        <f>N32/(M32+N32)</f>
        <v>0.82539682539682535</v>
      </c>
      <c r="O33" s="7"/>
      <c r="P33" s="7"/>
    </row>
    <row r="34" spans="5:16" ht="18.75" x14ac:dyDescent="0.3">
      <c r="E34" s="10"/>
      <c r="F34" s="48">
        <f>F10*100</f>
        <v>11</v>
      </c>
      <c r="G34" s="48">
        <f>F16*100</f>
        <v>52</v>
      </c>
      <c r="H34" s="49">
        <f>'Non-Irrigated Push Production'!J21</f>
        <v>894</v>
      </c>
      <c r="I34" s="37"/>
      <c r="J34" s="37"/>
      <c r="K34" s="6"/>
      <c r="L34" s="7" t="s">
        <v>364</v>
      </c>
      <c r="M34" s="7"/>
      <c r="N34" s="7"/>
      <c r="O34" s="7"/>
      <c r="P34" s="7"/>
    </row>
    <row r="35" spans="5:16" ht="18.75" x14ac:dyDescent="0.3">
      <c r="E35" s="10" t="s">
        <v>410</v>
      </c>
      <c r="F35" s="50">
        <f>H4</f>
        <v>0.42649999999999999</v>
      </c>
      <c r="G35" s="28">
        <f>G36/N32</f>
        <v>0.76939423076923075</v>
      </c>
      <c r="H35" s="42"/>
      <c r="I35" s="37"/>
      <c r="J35" s="37"/>
      <c r="K35" s="6"/>
      <c r="L35" s="7" t="s">
        <v>365</v>
      </c>
      <c r="M35" s="7"/>
      <c r="N35" s="7"/>
      <c r="O35" s="7"/>
      <c r="P35" s="7"/>
    </row>
    <row r="36" spans="5:16" ht="18.75" x14ac:dyDescent="0.3">
      <c r="E36" s="10" t="s">
        <v>409</v>
      </c>
      <c r="F36" s="28">
        <f>M32*F35</f>
        <v>93.83</v>
      </c>
      <c r="G36" s="28">
        <f>H34-F36</f>
        <v>800.17</v>
      </c>
      <c r="H36" s="28">
        <f>SUM(F36:G36)</f>
        <v>894</v>
      </c>
      <c r="I36" s="57">
        <f>H36/2000</f>
        <v>0.44700000000000001</v>
      </c>
      <c r="J36" s="42"/>
      <c r="K36" s="6"/>
      <c r="L36" s="7"/>
      <c r="M36" s="7"/>
      <c r="N36" s="7"/>
      <c r="O36" s="7"/>
      <c r="P36" s="7"/>
    </row>
    <row r="37" spans="5:16" ht="18.75" x14ac:dyDescent="0.3">
      <c r="E37" s="6"/>
      <c r="F37" s="8"/>
      <c r="G37" s="8"/>
      <c r="H37" s="8"/>
      <c r="I37" s="8"/>
      <c r="J37" s="8"/>
      <c r="K37" s="6"/>
      <c r="L37" s="7"/>
      <c r="M37" s="7"/>
      <c r="N37" s="7"/>
      <c r="O37" s="7"/>
      <c r="P37" s="7"/>
    </row>
    <row r="38" spans="5:16" ht="18.75" x14ac:dyDescent="0.3">
      <c r="E38" s="6"/>
      <c r="F38" s="8"/>
      <c r="G38" s="8"/>
      <c r="H38" s="8"/>
      <c r="I38" s="8"/>
      <c r="J38" s="8"/>
      <c r="K38" s="6"/>
      <c r="L38" s="7"/>
      <c r="M38" s="7"/>
      <c r="N38" s="7"/>
      <c r="O38" s="7"/>
      <c r="P38" s="7"/>
    </row>
    <row r="39" spans="5:16" ht="18.75" x14ac:dyDescent="0.3">
      <c r="E39" s="277" t="s">
        <v>417</v>
      </c>
      <c r="F39" s="278"/>
      <c r="G39" s="278"/>
      <c r="H39" s="278"/>
      <c r="I39" s="278"/>
      <c r="J39" s="279"/>
      <c r="K39" s="6"/>
      <c r="L39" s="7"/>
      <c r="M39" s="7"/>
      <c r="N39" s="7"/>
      <c r="O39" s="7"/>
      <c r="P39" s="7"/>
    </row>
    <row r="40" spans="5:16" ht="18.75" x14ac:dyDescent="0.3">
      <c r="E40" s="10"/>
      <c r="F40" s="37" t="s">
        <v>51</v>
      </c>
      <c r="G40" s="37" t="s">
        <v>53</v>
      </c>
      <c r="H40" s="37" t="s">
        <v>416</v>
      </c>
      <c r="I40" s="37"/>
      <c r="J40" s="37"/>
      <c r="K40" s="6"/>
      <c r="L40" s="7"/>
      <c r="M40" s="8">
        <f>2000*(F41/100)</f>
        <v>420</v>
      </c>
      <c r="N40" s="8">
        <f>2000*(G41/100)</f>
        <v>480</v>
      </c>
      <c r="O40" s="7"/>
      <c r="P40" s="7"/>
    </row>
    <row r="41" spans="5:16" ht="18.75" x14ac:dyDescent="0.3">
      <c r="E41" s="10" t="s">
        <v>490</v>
      </c>
      <c r="F41" s="48">
        <f>F11*100</f>
        <v>21</v>
      </c>
      <c r="G41" s="48">
        <f>F20*100</f>
        <v>24</v>
      </c>
      <c r="H41" s="49">
        <f>'Non-Irrigated Push Production'!J25</f>
        <v>675</v>
      </c>
      <c r="I41" s="37"/>
      <c r="J41" s="37"/>
      <c r="K41" s="6"/>
      <c r="L41" s="7"/>
      <c r="M41" s="53">
        <f>M40/(M40+N40)</f>
        <v>0.46666666666666667</v>
      </c>
      <c r="N41" s="53">
        <f>N40/(M40+N40)</f>
        <v>0.53333333333333333</v>
      </c>
      <c r="O41" s="7"/>
      <c r="P41" s="7"/>
    </row>
    <row r="42" spans="5:16" ht="18.75" x14ac:dyDescent="0.3">
      <c r="E42" s="10" t="s">
        <v>410</v>
      </c>
      <c r="F42" s="50">
        <f>H4</f>
        <v>0.42649999999999999</v>
      </c>
      <c r="G42" s="27">
        <f>G43/N40</f>
        <v>1.0330625</v>
      </c>
      <c r="H42" s="43"/>
      <c r="I42" s="37"/>
      <c r="J42" s="37"/>
      <c r="K42" s="6"/>
      <c r="L42" s="7" t="s">
        <v>364</v>
      </c>
      <c r="M42" s="7"/>
      <c r="N42" s="7"/>
      <c r="O42" s="7"/>
      <c r="P42" s="7"/>
    </row>
    <row r="43" spans="5:16" ht="18.75" x14ac:dyDescent="0.3">
      <c r="E43" s="10" t="s">
        <v>409</v>
      </c>
      <c r="F43" s="28">
        <f>M40*F42</f>
        <v>179.13</v>
      </c>
      <c r="G43" s="28">
        <f>H41-F43</f>
        <v>495.87</v>
      </c>
      <c r="H43" s="28">
        <f>SUM(F43:G43)</f>
        <v>675</v>
      </c>
      <c r="I43" s="42"/>
      <c r="J43" s="42"/>
      <c r="K43" s="6"/>
      <c r="L43" s="7" t="s">
        <v>365</v>
      </c>
      <c r="M43" s="7"/>
      <c r="N43" s="7"/>
      <c r="O43" s="7"/>
      <c r="P43" s="7"/>
    </row>
    <row r="44" spans="5:16" ht="18.75" x14ac:dyDescent="0.3">
      <c r="E44" s="7"/>
      <c r="F44" s="44"/>
      <c r="G44" s="44"/>
      <c r="H44" s="44"/>
      <c r="I44" s="44"/>
      <c r="J44" s="44"/>
      <c r="K44" s="6"/>
      <c r="L44" s="7"/>
      <c r="M44" s="7"/>
      <c r="N44" s="7"/>
    </row>
    <row r="45" spans="5:16" ht="18.75" x14ac:dyDescent="0.3">
      <c r="E45" s="10"/>
      <c r="F45" s="37" t="s">
        <v>51</v>
      </c>
      <c r="G45" s="37" t="s">
        <v>53</v>
      </c>
      <c r="H45" s="37" t="s">
        <v>416</v>
      </c>
      <c r="I45" s="37"/>
      <c r="J45" s="37"/>
      <c r="K45" s="6"/>
      <c r="L45" s="7"/>
      <c r="M45" s="8">
        <f>2000*(F46/100)</f>
        <v>240</v>
      </c>
      <c r="N45" s="8">
        <f>2000*(G46/100)</f>
        <v>520</v>
      </c>
    </row>
    <row r="46" spans="5:16" ht="18.75" x14ac:dyDescent="0.3">
      <c r="E46" s="10" t="s">
        <v>491</v>
      </c>
      <c r="F46" s="48">
        <v>12</v>
      </c>
      <c r="G46" s="48">
        <v>26</v>
      </c>
      <c r="H46" s="49">
        <f>'Non-Irrigated Push Production'!J18</f>
        <v>550</v>
      </c>
      <c r="I46" s="37"/>
      <c r="J46" s="37"/>
      <c r="K46" s="6"/>
      <c r="L46" s="7"/>
      <c r="M46" s="53">
        <f>M45/(M45+N45)</f>
        <v>0.31578947368421051</v>
      </c>
      <c r="N46" s="53">
        <f>N45/(M45+N45)</f>
        <v>0.68421052631578949</v>
      </c>
    </row>
    <row r="47" spans="5:16" ht="18.75" x14ac:dyDescent="0.3">
      <c r="E47" s="10" t="s">
        <v>410</v>
      </c>
      <c r="F47" s="50">
        <f>H11</f>
        <v>0.19192499999999998</v>
      </c>
      <c r="G47" s="51">
        <f>G48/N45</f>
        <v>0.96911153846153841</v>
      </c>
      <c r="H47" s="43"/>
      <c r="I47" s="37"/>
      <c r="J47" s="37"/>
      <c r="K47" s="6"/>
      <c r="L47" s="7" t="s">
        <v>364</v>
      </c>
      <c r="M47" s="7"/>
      <c r="N47" s="7"/>
    </row>
    <row r="48" spans="5:16" ht="18.75" x14ac:dyDescent="0.3">
      <c r="E48" s="10" t="s">
        <v>409</v>
      </c>
      <c r="F48" s="28">
        <f>M45*F47</f>
        <v>46.061999999999998</v>
      </c>
      <c r="G48" s="28">
        <f>H46-F48</f>
        <v>503.93799999999999</v>
      </c>
      <c r="H48" s="28">
        <f>SUM(F48:G48)</f>
        <v>550</v>
      </c>
      <c r="I48" s="42"/>
      <c r="J48" s="42"/>
      <c r="K48" s="6"/>
      <c r="L48" s="7" t="s">
        <v>365</v>
      </c>
    </row>
  </sheetData>
  <mergeCells count="2">
    <mergeCell ref="E27:J27"/>
    <mergeCell ref="E39:J3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542A-5B95-48CE-9316-CD84BED18738}">
  <dimension ref="E2:S48"/>
  <sheetViews>
    <sheetView workbookViewId="0">
      <selection activeCell="T26" sqref="T26"/>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408</v>
      </c>
      <c r="G2" s="37" t="s">
        <v>409</v>
      </c>
      <c r="H2" s="37" t="s">
        <v>429</v>
      </c>
      <c r="I2" s="37" t="s">
        <v>411</v>
      </c>
      <c r="J2" s="37" t="s">
        <v>404</v>
      </c>
      <c r="K2" s="6"/>
      <c r="L2" s="7"/>
      <c r="M2" s="7"/>
      <c r="N2" s="7"/>
      <c r="O2" s="7"/>
      <c r="P2" s="7"/>
    </row>
    <row r="3" spans="5:19" ht="18.75" x14ac:dyDescent="0.3">
      <c r="E3" s="10"/>
      <c r="F3" s="38" t="s">
        <v>60</v>
      </c>
      <c r="G3" s="38" t="s">
        <v>60</v>
      </c>
      <c r="H3" s="54" t="s">
        <v>430</v>
      </c>
      <c r="I3" s="38" t="s">
        <v>60</v>
      </c>
      <c r="J3" s="37"/>
      <c r="K3" s="2"/>
      <c r="L3" s="10"/>
      <c r="M3" s="10"/>
      <c r="N3" s="10"/>
      <c r="O3" s="10"/>
      <c r="P3" s="10"/>
    </row>
    <row r="4" spans="5:19" ht="18.75" x14ac:dyDescent="0.3">
      <c r="E4" s="10" t="s">
        <v>419</v>
      </c>
      <c r="F4" s="48">
        <v>0.46</v>
      </c>
      <c r="G4" s="50">
        <f>'Irrigated Push Production'!J19</f>
        <v>853</v>
      </c>
      <c r="H4" s="39">
        <f>G4/2000</f>
        <v>0.42649999999999999</v>
      </c>
      <c r="I4" s="48">
        <f>'Irrigated Push Production'!L19</f>
        <v>0</v>
      </c>
      <c r="J4" s="39">
        <f>I4*H4</f>
        <v>0</v>
      </c>
      <c r="K4" s="6"/>
      <c r="L4" s="2">
        <f>2000*F4</f>
        <v>920</v>
      </c>
      <c r="M4" s="7"/>
      <c r="N4" s="7"/>
      <c r="O4" s="10"/>
      <c r="P4" s="42" t="s">
        <v>484</v>
      </c>
      <c r="Q4" s="42" t="s">
        <v>52</v>
      </c>
      <c r="R4" s="42" t="s">
        <v>442</v>
      </c>
      <c r="S4" s="42" t="s">
        <v>53</v>
      </c>
    </row>
    <row r="5" spans="5:19" ht="18.75" x14ac:dyDescent="0.3">
      <c r="E5" s="10" t="s">
        <v>420</v>
      </c>
      <c r="F5" s="48">
        <v>0.28000000000000003</v>
      </c>
      <c r="G5" s="50">
        <f>'Irrigated Push Production'!J16</f>
        <v>513</v>
      </c>
      <c r="H5" s="39"/>
      <c r="I5" s="48">
        <f>'Irrigated Push Production'!L16</f>
        <v>55</v>
      </c>
      <c r="J5" s="39">
        <f>L5*'Irrigated Push Production'!L16*G5</f>
        <v>150.52702500000001</v>
      </c>
      <c r="K5" s="6"/>
      <c r="L5" s="2">
        <f>10.67/2000</f>
        <v>5.3350000000000003E-3</v>
      </c>
      <c r="M5" s="7"/>
      <c r="N5" s="7"/>
      <c r="O5" s="10"/>
      <c r="P5" s="56">
        <f>(I5*10.67*F5)+(I4*F4)+(I11*F11)+(F7*11.04*I7)+(I9*F9)+(I10*F10)+(I8*11.7*F8)+(I6*F6)</f>
        <v>206.40800000000002</v>
      </c>
      <c r="Q5" s="42">
        <f>(I15*F15)+(F16*I16)+(F14*11.7*I14)</f>
        <v>85.67</v>
      </c>
      <c r="R5" s="42">
        <f>(I17*F17)+(F18*I18)</f>
        <v>49.199999999999996</v>
      </c>
      <c r="S5" s="42">
        <f>(I20*F20)+(F19*11.04*I19)+(F21*I21)</f>
        <v>12</v>
      </c>
    </row>
    <row r="6" spans="5:19" ht="18.75" x14ac:dyDescent="0.3">
      <c r="E6" s="10" t="s">
        <v>577</v>
      </c>
      <c r="F6" s="48">
        <v>0.82</v>
      </c>
      <c r="G6" s="50">
        <f>'Irrigated Push Production'!J17</f>
        <v>1100</v>
      </c>
      <c r="H6" s="39">
        <f>G6/2000</f>
        <v>0.55000000000000004</v>
      </c>
      <c r="I6" s="48">
        <f>'Irrigated Push Production'!L17</f>
        <v>0</v>
      </c>
      <c r="J6" s="39">
        <f>I6*H6</f>
        <v>0</v>
      </c>
      <c r="K6" s="6"/>
      <c r="L6" s="2">
        <f>2000*F6</f>
        <v>1640</v>
      </c>
      <c r="M6" s="7"/>
      <c r="N6" s="7"/>
      <c r="O6" s="10"/>
      <c r="P6" s="56"/>
      <c r="Q6" s="42"/>
      <c r="R6" s="42"/>
      <c r="S6" s="42"/>
    </row>
    <row r="7" spans="5:19" ht="18.75" x14ac:dyDescent="0.3">
      <c r="E7" s="10" t="s">
        <v>448</v>
      </c>
      <c r="F7" s="48">
        <v>0.12</v>
      </c>
      <c r="G7" s="50">
        <f>'Irrigated Push Production'!J18</f>
        <v>550</v>
      </c>
      <c r="H7" s="39">
        <f>G7/(2000*M46)</f>
        <v>0.87083333333333335</v>
      </c>
      <c r="I7" s="52">
        <f>'Irrigated Push Production'!L18</f>
        <v>0</v>
      </c>
      <c r="J7" s="39">
        <f>L7*'Irrigated Push Production'!L18*G7</f>
        <v>0</v>
      </c>
      <c r="K7" s="6"/>
      <c r="L7" s="2">
        <f>11.04/2000</f>
        <v>5.5199999999999997E-3</v>
      </c>
      <c r="M7" s="7"/>
      <c r="N7" s="7"/>
      <c r="O7" s="10"/>
      <c r="P7" s="56"/>
      <c r="Q7" s="7"/>
      <c r="R7" s="7"/>
      <c r="S7" s="7"/>
    </row>
    <row r="8" spans="5:19" ht="18.75" x14ac:dyDescent="0.3">
      <c r="E8" s="10" t="s">
        <v>485</v>
      </c>
      <c r="F8" s="48">
        <v>0.1</v>
      </c>
      <c r="G8" s="50">
        <f>'Irrigated Push Production'!J22</f>
        <v>700</v>
      </c>
      <c r="H8" s="39"/>
      <c r="I8" s="48">
        <f>'Irrigated Push Production'!L22</f>
        <v>5</v>
      </c>
      <c r="J8" s="39">
        <f>L8*'Irrigated Push Production'!L22*G8</f>
        <v>20.474999999999998</v>
      </c>
      <c r="K8" s="6"/>
      <c r="L8" s="2">
        <f>11.7/2000</f>
        <v>5.8499999999999993E-3</v>
      </c>
      <c r="M8" s="10"/>
      <c r="N8" s="10"/>
      <c r="O8" s="10"/>
      <c r="P8" s="10"/>
    </row>
    <row r="9" spans="5:19" ht="18.75" x14ac:dyDescent="0.3">
      <c r="E9" s="10" t="s">
        <v>422</v>
      </c>
      <c r="F9" s="48">
        <v>0.18</v>
      </c>
      <c r="G9" s="50">
        <f>F31</f>
        <v>153.54</v>
      </c>
      <c r="H9" s="39">
        <f>I31</f>
        <v>0.42849999999999999</v>
      </c>
      <c r="I9" s="48">
        <f>'Irrigated Push Production'!L20</f>
        <v>143</v>
      </c>
      <c r="J9" s="40">
        <f>I9*H9*M28</f>
        <v>17.233734375000001</v>
      </c>
      <c r="K9" s="6"/>
      <c r="L9" s="2">
        <f>2000*F15</f>
        <v>920</v>
      </c>
      <c r="M9" s="10"/>
      <c r="N9" s="10"/>
      <c r="O9" s="10"/>
      <c r="P9" s="10"/>
    </row>
    <row r="10" spans="5:19" ht="18.75" x14ac:dyDescent="0.3">
      <c r="E10" s="10" t="s">
        <v>423</v>
      </c>
      <c r="F10" s="48">
        <v>0.11</v>
      </c>
      <c r="G10" s="50">
        <f>F36</f>
        <v>93.83</v>
      </c>
      <c r="H10" s="39">
        <f>I36</f>
        <v>0.44700000000000001</v>
      </c>
      <c r="I10" s="48">
        <f>'Irrigated Push Production'!L21</f>
        <v>0</v>
      </c>
      <c r="J10" s="40">
        <f>I10*H10*M33</f>
        <v>0</v>
      </c>
      <c r="K10" s="6"/>
      <c r="L10" s="2">
        <f>2000*F16</f>
        <v>1040</v>
      </c>
      <c r="M10" s="10"/>
      <c r="N10" s="10"/>
      <c r="O10" s="10"/>
      <c r="P10" s="10"/>
    </row>
    <row r="11" spans="5:19" ht="18.75" x14ac:dyDescent="0.3">
      <c r="E11" s="10" t="s">
        <v>412</v>
      </c>
      <c r="F11" s="48">
        <v>0.21</v>
      </c>
      <c r="G11" s="50">
        <f>F43</f>
        <v>179.13</v>
      </c>
      <c r="H11" s="39">
        <f>G11/(2000*M41)</f>
        <v>0.19192499999999998</v>
      </c>
      <c r="I11" s="52">
        <f>'Irrigated Push Production'!L25</f>
        <v>50</v>
      </c>
      <c r="J11" s="41">
        <f>I11*H11*M41</f>
        <v>4.4782500000000001</v>
      </c>
      <c r="K11" s="6"/>
      <c r="L11" s="2">
        <f>2000*F11</f>
        <v>420</v>
      </c>
      <c r="M11" s="10"/>
      <c r="N11" s="10"/>
      <c r="O11" s="10"/>
      <c r="P11" s="10"/>
    </row>
    <row r="12" spans="5:19" ht="18.75" x14ac:dyDescent="0.3">
      <c r="E12" s="10"/>
      <c r="F12" s="51"/>
      <c r="G12" s="51"/>
      <c r="H12" s="37"/>
      <c r="I12" s="51"/>
      <c r="J12" s="39">
        <f>SUM(J4:J11)</f>
        <v>192.71400937500002</v>
      </c>
      <c r="K12" s="6"/>
      <c r="L12" s="2"/>
      <c r="M12" s="10"/>
      <c r="N12" s="10"/>
      <c r="O12" s="10"/>
      <c r="P12" s="10"/>
    </row>
    <row r="13" spans="5:19" ht="18.75" x14ac:dyDescent="0.3">
      <c r="E13" s="10"/>
      <c r="F13" s="51"/>
      <c r="G13" s="51"/>
      <c r="H13" s="37"/>
      <c r="I13" s="51"/>
      <c r="J13" s="39"/>
      <c r="K13" s="6"/>
      <c r="L13" s="2"/>
      <c r="M13" s="10"/>
      <c r="N13" s="10"/>
      <c r="O13" s="10"/>
      <c r="P13" s="10"/>
    </row>
    <row r="14" spans="5:19" ht="18.75" x14ac:dyDescent="0.3">
      <c r="E14" s="10" t="s">
        <v>486</v>
      </c>
      <c r="F14" s="48">
        <v>0.34</v>
      </c>
      <c r="G14" s="50">
        <f>'Irrigated Push Production'!J22</f>
        <v>700</v>
      </c>
      <c r="H14" s="39"/>
      <c r="I14" s="48">
        <f>'Irrigated Push Production'!L22</f>
        <v>5</v>
      </c>
      <c r="J14" s="39">
        <f>L14*'Irrigated Push Production'!L22*G14</f>
        <v>20.474999999999998</v>
      </c>
      <c r="K14" s="6"/>
      <c r="L14" s="2">
        <f>11.7/2000</f>
        <v>5.8499999999999993E-3</v>
      </c>
      <c r="M14" s="10"/>
      <c r="N14" s="10"/>
      <c r="O14" s="10"/>
      <c r="P14" s="10"/>
    </row>
    <row r="15" spans="5:19" ht="18.75" x14ac:dyDescent="0.3">
      <c r="E15" s="10" t="s">
        <v>421</v>
      </c>
      <c r="F15" s="48">
        <v>0.46</v>
      </c>
      <c r="G15" s="50">
        <f>G31</f>
        <v>703.46</v>
      </c>
      <c r="H15" s="39">
        <f>I31</f>
        <v>0.42849999999999999</v>
      </c>
      <c r="I15" s="48">
        <f>'Irrigated Push Production'!L20</f>
        <v>143</v>
      </c>
      <c r="J15" s="39">
        <f>I15*H15*N28</f>
        <v>44.041765625000004</v>
      </c>
      <c r="K15" s="6"/>
      <c r="L15" s="2">
        <f>2000*F9</f>
        <v>360</v>
      </c>
      <c r="M15" s="10"/>
      <c r="N15" s="10"/>
      <c r="O15" s="10"/>
      <c r="P15" s="10"/>
    </row>
    <row r="16" spans="5:19" ht="18.75" x14ac:dyDescent="0.3">
      <c r="E16" s="10" t="s">
        <v>428</v>
      </c>
      <c r="F16" s="48">
        <v>0.52</v>
      </c>
      <c r="G16" s="50">
        <f>G36</f>
        <v>800.17</v>
      </c>
      <c r="H16" s="39">
        <f>I36</f>
        <v>0.44700000000000001</v>
      </c>
      <c r="I16" s="48">
        <f>'Irrigated Push Production'!L21</f>
        <v>0</v>
      </c>
      <c r="J16" s="39">
        <f>I16*H16*N33</f>
        <v>0</v>
      </c>
      <c r="K16" s="6"/>
      <c r="L16" s="2">
        <f>2000*F11</f>
        <v>420</v>
      </c>
      <c r="M16" s="10"/>
      <c r="N16" s="10"/>
      <c r="O16" s="10"/>
      <c r="P16" s="10"/>
    </row>
    <row r="17" spans="5:16" ht="18.75" x14ac:dyDescent="0.3">
      <c r="E17" s="10" t="s">
        <v>413</v>
      </c>
      <c r="F17" s="52">
        <v>0.6</v>
      </c>
      <c r="G17" s="50">
        <f>'Irrigated Push Production'!J23</f>
        <v>503</v>
      </c>
      <c r="H17" s="39">
        <f>G17/2000</f>
        <v>0.2515</v>
      </c>
      <c r="I17" s="48">
        <f>'Irrigated Push Production'!L23</f>
        <v>82</v>
      </c>
      <c r="J17" s="40">
        <f>I17*H17</f>
        <v>20.623000000000001</v>
      </c>
      <c r="K17" s="6"/>
      <c r="L17" s="2">
        <f>2000*F17</f>
        <v>1200</v>
      </c>
      <c r="M17" s="10"/>
      <c r="N17" s="10"/>
      <c r="O17" s="10"/>
      <c r="P17" s="10"/>
    </row>
    <row r="18" spans="5:16" ht="18.75" x14ac:dyDescent="0.3">
      <c r="E18" s="10" t="s">
        <v>487</v>
      </c>
      <c r="F18" s="52">
        <v>0.22</v>
      </c>
      <c r="G18" s="50">
        <f>'Irrigated Push Production'!J24</f>
        <v>0</v>
      </c>
      <c r="H18" s="39">
        <f>G18/2000</f>
        <v>0</v>
      </c>
      <c r="I18" s="48">
        <f>'Irrigated Push Production'!L24</f>
        <v>0</v>
      </c>
      <c r="J18" s="40">
        <f>I18*H18</f>
        <v>0</v>
      </c>
      <c r="K18" s="6"/>
      <c r="L18" s="2">
        <f>2000*F18</f>
        <v>440</v>
      </c>
      <c r="M18" s="10"/>
      <c r="N18" s="10"/>
      <c r="O18" s="10"/>
      <c r="P18" s="10"/>
    </row>
    <row r="19" spans="5:16" ht="18.75" x14ac:dyDescent="0.3">
      <c r="E19" s="10" t="s">
        <v>450</v>
      </c>
      <c r="F19" s="48">
        <v>0.26</v>
      </c>
      <c r="G19" s="50">
        <f>G48</f>
        <v>503.93799999999999</v>
      </c>
      <c r="H19" s="39">
        <f>G19/(2000*N45)</f>
        <v>4.8455576923076921E-4</v>
      </c>
      <c r="I19" s="52">
        <f>'Irrigated Push Production'!L18</f>
        <v>0</v>
      </c>
      <c r="J19" s="46">
        <f>I19*H19*N40</f>
        <v>0</v>
      </c>
      <c r="K19" s="6"/>
      <c r="L19" s="2">
        <f>2000*F19</f>
        <v>520</v>
      </c>
      <c r="M19" s="10"/>
      <c r="N19" s="10"/>
      <c r="O19" s="10"/>
      <c r="P19" s="10"/>
    </row>
    <row r="20" spans="5:16" ht="18.75" x14ac:dyDescent="0.3">
      <c r="E20" s="10" t="s">
        <v>449</v>
      </c>
      <c r="F20" s="48">
        <v>0.24</v>
      </c>
      <c r="G20" s="50">
        <f>G43</f>
        <v>495.87</v>
      </c>
      <c r="H20" s="39">
        <f>G20/(2000*N41)</f>
        <v>0.46487812499999998</v>
      </c>
      <c r="I20" s="52">
        <f>'Irrigated Push Production'!L25</f>
        <v>50</v>
      </c>
      <c r="J20" s="46">
        <f>I20*H20*N41</f>
        <v>12.396749999999999</v>
      </c>
      <c r="K20" s="6"/>
      <c r="L20" s="2">
        <f>2000*F20</f>
        <v>480</v>
      </c>
      <c r="M20" s="10"/>
      <c r="N20" s="10"/>
      <c r="O20" s="10"/>
      <c r="P20" s="10"/>
    </row>
    <row r="21" spans="5:16" ht="18.75" x14ac:dyDescent="0.3">
      <c r="E21" s="10" t="s">
        <v>489</v>
      </c>
      <c r="F21" s="43">
        <v>0.17</v>
      </c>
      <c r="G21" s="50">
        <f>'Irrigated Push Production'!J26</f>
        <v>0</v>
      </c>
      <c r="H21" s="39">
        <f>G21/2000</f>
        <v>0</v>
      </c>
      <c r="I21" s="64">
        <f>'Irrigated Push Production'!L26</f>
        <v>0</v>
      </c>
      <c r="J21" s="40">
        <f>I21*H21</f>
        <v>0</v>
      </c>
      <c r="K21" s="6"/>
      <c r="L21" s="2">
        <f>2000*F21</f>
        <v>340</v>
      </c>
      <c r="M21" s="10"/>
      <c r="N21" s="10"/>
      <c r="O21" s="10"/>
      <c r="P21" s="10"/>
    </row>
    <row r="22" spans="5:16" ht="18.75" x14ac:dyDescent="0.3">
      <c r="E22" s="10"/>
      <c r="F22" s="37"/>
      <c r="G22" s="37"/>
      <c r="H22" s="37"/>
      <c r="I22" s="37"/>
      <c r="J22" s="39">
        <f>SUM(J14:J21)</f>
        <v>97.536515625000007</v>
      </c>
      <c r="K22" s="2"/>
      <c r="L22" s="10"/>
      <c r="M22" s="10"/>
      <c r="N22" s="10"/>
      <c r="O22" s="8"/>
      <c r="P22" s="8">
        <f>SUM(M27:N27)</f>
        <v>1280</v>
      </c>
    </row>
    <row r="23" spans="5:16" ht="18.75" x14ac:dyDescent="0.3">
      <c r="E23" s="10"/>
      <c r="F23" s="37"/>
      <c r="G23" s="37"/>
      <c r="H23" s="37"/>
      <c r="I23" s="8"/>
      <c r="J23" s="8"/>
      <c r="K23" s="2"/>
      <c r="L23" s="10"/>
      <c r="M23" s="10"/>
      <c r="N23" s="10"/>
      <c r="O23" s="8"/>
      <c r="P23" s="8">
        <f>SUM(M28:N28)</f>
        <v>1</v>
      </c>
    </row>
    <row r="24" spans="5:16" ht="18.75" x14ac:dyDescent="0.3">
      <c r="E24" s="10"/>
      <c r="F24" s="42"/>
      <c r="G24" s="42"/>
      <c r="H24" s="37"/>
      <c r="I24" s="43" t="s">
        <v>414</v>
      </c>
      <c r="J24" s="47">
        <f>J12+J22</f>
        <v>290.25052500000004</v>
      </c>
      <c r="K24" s="2"/>
      <c r="L24" s="10"/>
      <c r="M24" s="7"/>
      <c r="N24" s="7"/>
      <c r="O24" s="7"/>
      <c r="P24" s="7"/>
    </row>
    <row r="25" spans="5:16" ht="18.75" x14ac:dyDescent="0.3">
      <c r="E25" s="10"/>
      <c r="F25" s="37"/>
      <c r="G25" s="37"/>
      <c r="H25" s="37"/>
      <c r="I25" s="37"/>
      <c r="J25" s="37"/>
      <c r="K25" s="6"/>
      <c r="L25" s="7"/>
      <c r="M25" s="7"/>
      <c r="N25" s="7"/>
      <c r="O25" s="7"/>
      <c r="P25" s="7"/>
    </row>
    <row r="26" spans="5:16" ht="18.75" x14ac:dyDescent="0.3">
      <c r="E26" s="10"/>
      <c r="F26" s="37"/>
      <c r="G26" s="37"/>
      <c r="H26" s="37"/>
      <c r="I26" s="37"/>
      <c r="J26" s="37"/>
      <c r="K26" s="6"/>
      <c r="L26" s="7"/>
      <c r="M26" s="7"/>
      <c r="N26" s="7"/>
      <c r="O26" s="7"/>
      <c r="P26" s="7"/>
    </row>
    <row r="27" spans="5:16" ht="18.75" x14ac:dyDescent="0.3">
      <c r="E27" s="277" t="s">
        <v>415</v>
      </c>
      <c r="F27" s="278"/>
      <c r="G27" s="278"/>
      <c r="H27" s="278"/>
      <c r="I27" s="278"/>
      <c r="J27" s="279"/>
      <c r="K27" s="6"/>
      <c r="L27" s="7"/>
      <c r="M27" s="8">
        <f>2000*(F29/100)</f>
        <v>360</v>
      </c>
      <c r="N27" s="8">
        <f>2000*(G29/100)</f>
        <v>920</v>
      </c>
      <c r="O27" s="7"/>
      <c r="P27" s="7"/>
    </row>
    <row r="28" spans="5:16" ht="18.75" x14ac:dyDescent="0.3">
      <c r="E28" s="10"/>
      <c r="F28" s="37" t="s">
        <v>51</v>
      </c>
      <c r="G28" s="37" t="s">
        <v>52</v>
      </c>
      <c r="H28" s="37" t="s">
        <v>416</v>
      </c>
      <c r="I28" s="37"/>
      <c r="J28" s="37"/>
      <c r="K28" s="6"/>
      <c r="L28" s="7"/>
      <c r="M28" s="53">
        <f>M27/(M27+N27)</f>
        <v>0.28125</v>
      </c>
      <c r="N28" s="53">
        <f>N27/(M27+N27)</f>
        <v>0.71875</v>
      </c>
      <c r="O28" s="7"/>
      <c r="P28" s="7"/>
    </row>
    <row r="29" spans="5:16" ht="18.75" x14ac:dyDescent="0.3">
      <c r="E29" s="10"/>
      <c r="F29" s="48">
        <f>F9*100</f>
        <v>18</v>
      </c>
      <c r="G29" s="48">
        <f>F15*100</f>
        <v>46</v>
      </c>
      <c r="H29" s="236">
        <f>'Irrigated Push Production'!J20</f>
        <v>857</v>
      </c>
      <c r="I29" s="37"/>
      <c r="J29" s="37"/>
      <c r="K29" s="6"/>
      <c r="L29" s="7" t="s">
        <v>364</v>
      </c>
      <c r="M29" s="7"/>
      <c r="N29" s="7"/>
      <c r="O29" s="7"/>
      <c r="P29" s="7"/>
    </row>
    <row r="30" spans="5:16" ht="18.75" x14ac:dyDescent="0.3">
      <c r="E30" s="10" t="s">
        <v>410</v>
      </c>
      <c r="F30" s="50">
        <f>H4</f>
        <v>0.42649999999999999</v>
      </c>
      <c r="G30" s="28">
        <f>G31/N27</f>
        <v>0.76463043478260873</v>
      </c>
      <c r="H30" s="42"/>
      <c r="I30" s="37"/>
      <c r="J30" s="37"/>
      <c r="K30" s="6"/>
      <c r="L30" s="7" t="s">
        <v>365</v>
      </c>
      <c r="M30" s="7"/>
      <c r="N30" s="7"/>
      <c r="O30" s="7"/>
      <c r="P30" s="7"/>
    </row>
    <row r="31" spans="5:16" ht="18.75" x14ac:dyDescent="0.3">
      <c r="E31" s="10" t="s">
        <v>409</v>
      </c>
      <c r="F31" s="28">
        <f>M27*F30</f>
        <v>153.54</v>
      </c>
      <c r="G31" s="28">
        <f>H29-F31</f>
        <v>703.46</v>
      </c>
      <c r="H31" s="28">
        <f>SUM(F31:G31)</f>
        <v>857</v>
      </c>
      <c r="I31" s="57">
        <f>H31/2000</f>
        <v>0.42849999999999999</v>
      </c>
      <c r="J31" s="42"/>
      <c r="K31" s="6"/>
      <c r="L31" s="7"/>
      <c r="M31" s="7"/>
      <c r="N31" s="7"/>
      <c r="O31" s="7"/>
      <c r="P31" s="7"/>
    </row>
    <row r="32" spans="5:16" ht="18.75" x14ac:dyDescent="0.3">
      <c r="E32" s="7"/>
      <c r="F32" s="44"/>
      <c r="G32" s="44"/>
      <c r="H32" s="44"/>
      <c r="I32" s="44"/>
      <c r="J32" s="44"/>
      <c r="K32" s="6"/>
      <c r="L32" s="7"/>
      <c r="M32" s="8">
        <f>2000*(F34/100)</f>
        <v>220</v>
      </c>
      <c r="N32" s="8">
        <f>2000*(G34/100)</f>
        <v>1040</v>
      </c>
      <c r="O32" s="7"/>
      <c r="P32" s="7"/>
    </row>
    <row r="33" spans="5:16" ht="18.75" x14ac:dyDescent="0.3">
      <c r="E33" s="10"/>
      <c r="F33" s="37" t="s">
        <v>51</v>
      </c>
      <c r="G33" s="37" t="s">
        <v>52</v>
      </c>
      <c r="H33" s="37" t="s">
        <v>416</v>
      </c>
      <c r="I33" s="37"/>
      <c r="J33" s="37"/>
      <c r="K33" s="6"/>
      <c r="L33" s="7"/>
      <c r="M33" s="53">
        <f>M32/(M32+N32)</f>
        <v>0.17460317460317459</v>
      </c>
      <c r="N33" s="53">
        <f>N32/(M32+N32)</f>
        <v>0.82539682539682535</v>
      </c>
      <c r="O33" s="7"/>
      <c r="P33" s="7"/>
    </row>
    <row r="34" spans="5:16" ht="18.75" x14ac:dyDescent="0.3">
      <c r="E34" s="10"/>
      <c r="F34" s="48">
        <f>F10*100</f>
        <v>11</v>
      </c>
      <c r="G34" s="48">
        <f>F16*100</f>
        <v>52</v>
      </c>
      <c r="H34" s="236">
        <f>'Irrigated Push Production'!J21</f>
        <v>894</v>
      </c>
      <c r="I34" s="37"/>
      <c r="J34" s="37"/>
      <c r="K34" s="6"/>
      <c r="L34" s="7" t="s">
        <v>364</v>
      </c>
      <c r="M34" s="7"/>
      <c r="N34" s="7"/>
      <c r="O34" s="7"/>
      <c r="P34" s="7"/>
    </row>
    <row r="35" spans="5:16" ht="18.75" x14ac:dyDescent="0.3">
      <c r="E35" s="10" t="s">
        <v>410</v>
      </c>
      <c r="F35" s="50">
        <f>H4</f>
        <v>0.42649999999999999</v>
      </c>
      <c r="G35" s="28">
        <f>G36/N32</f>
        <v>0.76939423076923075</v>
      </c>
      <c r="H35" s="42"/>
      <c r="I35" s="37"/>
      <c r="J35" s="37"/>
      <c r="K35" s="6"/>
      <c r="L35" s="7" t="s">
        <v>365</v>
      </c>
      <c r="M35" s="7"/>
      <c r="N35" s="7"/>
      <c r="O35" s="7"/>
      <c r="P35" s="7"/>
    </row>
    <row r="36" spans="5:16" ht="18.75" x14ac:dyDescent="0.3">
      <c r="E36" s="10" t="s">
        <v>409</v>
      </c>
      <c r="F36" s="28">
        <f>M32*F35</f>
        <v>93.83</v>
      </c>
      <c r="G36" s="28">
        <f>H34-F36</f>
        <v>800.17</v>
      </c>
      <c r="H36" s="28">
        <f>SUM(F36:G36)</f>
        <v>894</v>
      </c>
      <c r="I36" s="57">
        <f>H36/2000</f>
        <v>0.44700000000000001</v>
      </c>
      <c r="J36" s="42"/>
      <c r="K36" s="6"/>
      <c r="L36" s="7"/>
      <c r="M36" s="7"/>
      <c r="N36" s="7"/>
      <c r="O36" s="7"/>
      <c r="P36" s="7"/>
    </row>
    <row r="37" spans="5:16" ht="18.75" x14ac:dyDescent="0.3">
      <c r="E37" s="6"/>
      <c r="F37" s="8"/>
      <c r="G37" s="8"/>
      <c r="H37" s="8"/>
      <c r="I37" s="8"/>
      <c r="J37" s="8"/>
      <c r="K37" s="6"/>
      <c r="L37" s="7"/>
      <c r="M37" s="7"/>
      <c r="N37" s="7"/>
      <c r="O37" s="7"/>
      <c r="P37" s="7"/>
    </row>
    <row r="38" spans="5:16" ht="18.75" x14ac:dyDescent="0.3">
      <c r="E38" s="6"/>
      <c r="F38" s="8"/>
      <c r="G38" s="8"/>
      <c r="H38" s="8"/>
      <c r="I38" s="8"/>
      <c r="J38" s="8"/>
      <c r="K38" s="6"/>
      <c r="L38" s="7"/>
      <c r="M38" s="7"/>
      <c r="N38" s="7"/>
      <c r="O38" s="7"/>
      <c r="P38" s="7"/>
    </row>
    <row r="39" spans="5:16" ht="18.75" x14ac:dyDescent="0.3">
      <c r="E39" s="277" t="s">
        <v>417</v>
      </c>
      <c r="F39" s="278"/>
      <c r="G39" s="278"/>
      <c r="H39" s="278"/>
      <c r="I39" s="278"/>
      <c r="J39" s="279"/>
      <c r="K39" s="6"/>
      <c r="L39" s="7"/>
      <c r="M39" s="7"/>
      <c r="N39" s="7"/>
      <c r="O39" s="7"/>
      <c r="P39" s="7"/>
    </row>
    <row r="40" spans="5:16" ht="18.75" x14ac:dyDescent="0.3">
      <c r="E40" s="10"/>
      <c r="F40" s="37" t="s">
        <v>51</v>
      </c>
      <c r="G40" s="37" t="s">
        <v>53</v>
      </c>
      <c r="H40" s="37" t="s">
        <v>416</v>
      </c>
      <c r="I40" s="37"/>
      <c r="J40" s="37"/>
      <c r="K40" s="6"/>
      <c r="L40" s="7"/>
      <c r="M40" s="8">
        <f>2000*(F41/100)</f>
        <v>420</v>
      </c>
      <c r="N40" s="8">
        <f>2000*(G41/100)</f>
        <v>480</v>
      </c>
      <c r="O40" s="7"/>
      <c r="P40" s="7"/>
    </row>
    <row r="41" spans="5:16" ht="18.75" x14ac:dyDescent="0.3">
      <c r="E41" s="10" t="s">
        <v>490</v>
      </c>
      <c r="F41" s="48">
        <f>F11*100</f>
        <v>21</v>
      </c>
      <c r="G41" s="48">
        <f>F20*100</f>
        <v>24</v>
      </c>
      <c r="H41" s="236">
        <f>'Irrigated Push Production'!J25</f>
        <v>675</v>
      </c>
      <c r="I41" s="37"/>
      <c r="J41" s="37"/>
      <c r="K41" s="6"/>
      <c r="L41" s="7"/>
      <c r="M41" s="53">
        <f>M40/(M40+N40)</f>
        <v>0.46666666666666667</v>
      </c>
      <c r="N41" s="53">
        <f>N40/(M40+N40)</f>
        <v>0.53333333333333333</v>
      </c>
      <c r="O41" s="7"/>
      <c r="P41" s="7"/>
    </row>
    <row r="42" spans="5:16" ht="18.75" x14ac:dyDescent="0.3">
      <c r="E42" s="10" t="s">
        <v>410</v>
      </c>
      <c r="F42" s="50">
        <f>H4</f>
        <v>0.42649999999999999</v>
      </c>
      <c r="G42" s="27">
        <f>G43/N40</f>
        <v>1.0330625</v>
      </c>
      <c r="H42" s="43"/>
      <c r="I42" s="37"/>
      <c r="J42" s="37"/>
      <c r="K42" s="6"/>
      <c r="L42" s="7" t="s">
        <v>364</v>
      </c>
      <c r="M42" s="7"/>
      <c r="N42" s="7"/>
      <c r="O42" s="7"/>
      <c r="P42" s="7"/>
    </row>
    <row r="43" spans="5:16" ht="18.75" x14ac:dyDescent="0.3">
      <c r="E43" s="10" t="s">
        <v>409</v>
      </c>
      <c r="F43" s="28">
        <f>M40*F42</f>
        <v>179.13</v>
      </c>
      <c r="G43" s="28">
        <f>H41-F43</f>
        <v>495.87</v>
      </c>
      <c r="H43" s="28">
        <f>SUM(F43:G43)</f>
        <v>675</v>
      </c>
      <c r="I43" s="42"/>
      <c r="J43" s="42"/>
      <c r="K43" s="6"/>
      <c r="L43" s="7" t="s">
        <v>365</v>
      </c>
      <c r="M43" s="7"/>
      <c r="N43" s="7"/>
      <c r="O43" s="7"/>
      <c r="P43" s="7"/>
    </row>
    <row r="44" spans="5:16" ht="18.75" x14ac:dyDescent="0.3">
      <c r="E44" s="7"/>
      <c r="F44" s="44"/>
      <c r="G44" s="44"/>
      <c r="H44" s="44"/>
      <c r="I44" s="44"/>
      <c r="J44" s="44"/>
      <c r="K44" s="6"/>
      <c r="L44" s="7"/>
      <c r="M44" s="7"/>
      <c r="N44" s="7"/>
    </row>
    <row r="45" spans="5:16" ht="18.75" x14ac:dyDescent="0.3">
      <c r="E45" s="10"/>
      <c r="F45" s="37" t="s">
        <v>51</v>
      </c>
      <c r="G45" s="37" t="s">
        <v>53</v>
      </c>
      <c r="H45" s="37" t="s">
        <v>416</v>
      </c>
      <c r="I45" s="37"/>
      <c r="J45" s="37"/>
      <c r="K45" s="6"/>
      <c r="L45" s="7"/>
      <c r="M45" s="8">
        <f>2000*(F46/100)</f>
        <v>240</v>
      </c>
      <c r="N45" s="8">
        <f>2000*(G46/100)</f>
        <v>520</v>
      </c>
    </row>
    <row r="46" spans="5:16" ht="18.75" x14ac:dyDescent="0.3">
      <c r="E46" s="10" t="s">
        <v>491</v>
      </c>
      <c r="F46" s="48">
        <v>12</v>
      </c>
      <c r="G46" s="48">
        <v>26</v>
      </c>
      <c r="H46" s="236">
        <f>'Irrigated Push Production'!J18</f>
        <v>550</v>
      </c>
      <c r="I46" s="37"/>
      <c r="J46" s="37"/>
      <c r="K46" s="6"/>
      <c r="L46" s="7"/>
      <c r="M46" s="53">
        <f>M45/(M45+N45)</f>
        <v>0.31578947368421051</v>
      </c>
      <c r="N46" s="53">
        <f>N45/(M45+N45)</f>
        <v>0.68421052631578949</v>
      </c>
    </row>
    <row r="47" spans="5:16" ht="18.75" x14ac:dyDescent="0.3">
      <c r="E47" s="10" t="s">
        <v>410</v>
      </c>
      <c r="F47" s="50">
        <f>H11</f>
        <v>0.19192499999999998</v>
      </c>
      <c r="G47" s="51">
        <f>G48/N45</f>
        <v>0.96911153846153841</v>
      </c>
      <c r="H47" s="43"/>
      <c r="I47" s="37"/>
      <c r="J47" s="37"/>
      <c r="K47" s="6"/>
      <c r="L47" s="7" t="s">
        <v>364</v>
      </c>
      <c r="M47" s="7"/>
      <c r="N47" s="7"/>
    </row>
    <row r="48" spans="5:16" ht="18.75" x14ac:dyDescent="0.3">
      <c r="E48" s="10" t="s">
        <v>409</v>
      </c>
      <c r="F48" s="28">
        <f>M45*F47</f>
        <v>46.061999999999998</v>
      </c>
      <c r="G48" s="28">
        <f>H46-F48</f>
        <v>503.93799999999999</v>
      </c>
      <c r="H48" s="28">
        <f>SUM(F48:G48)</f>
        <v>550</v>
      </c>
      <c r="I48" s="42"/>
      <c r="J48" s="42"/>
      <c r="K48" s="6"/>
      <c r="L48" s="7" t="s">
        <v>365</v>
      </c>
    </row>
  </sheetData>
  <mergeCells count="2">
    <mergeCell ref="E27:J27"/>
    <mergeCell ref="E39:J3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081D-DD0E-432C-A936-7A0FA488BEF4}">
  <dimension ref="A1:L44"/>
  <sheetViews>
    <sheetView workbookViewId="0">
      <selection activeCell="F54" sqref="F54"/>
    </sheetView>
  </sheetViews>
  <sheetFormatPr defaultRowHeight="15" x14ac:dyDescent="0.25"/>
  <cols>
    <col min="1" max="1" width="23.28515625" bestFit="1" customWidth="1"/>
    <col min="2" max="2" width="10.85546875" bestFit="1" customWidth="1"/>
    <col min="3" max="3" width="10.5703125" bestFit="1" customWidth="1"/>
    <col min="4" max="4" width="18.42578125" bestFit="1" customWidth="1"/>
    <col min="9" max="9" width="15.7109375" bestFit="1" customWidth="1"/>
    <col min="10" max="10" width="10.85546875" bestFit="1" customWidth="1"/>
    <col min="11" max="11" width="10.5703125" bestFit="1" customWidth="1"/>
    <col min="12" max="12" width="18.42578125" bestFit="1" customWidth="1"/>
  </cols>
  <sheetData>
    <row r="1" spans="1:12" x14ac:dyDescent="0.25">
      <c r="B1" t="s">
        <v>377</v>
      </c>
      <c r="C1" t="s">
        <v>58</v>
      </c>
      <c r="D1" t="s">
        <v>378</v>
      </c>
      <c r="J1" t="s">
        <v>377</v>
      </c>
      <c r="K1" t="s">
        <v>58</v>
      </c>
      <c r="L1" t="s">
        <v>378</v>
      </c>
    </row>
    <row r="2" spans="1:12" ht="15.75" x14ac:dyDescent="0.25">
      <c r="A2" s="11" t="s">
        <v>36</v>
      </c>
      <c r="B2" s="12" t="e">
        <f>'Non-Irrigated Base'!#REF!</f>
        <v>#REF!</v>
      </c>
      <c r="C2" s="12">
        <f>'Non-Irrigated Base'!E19</f>
        <v>102.9</v>
      </c>
      <c r="D2" s="12" t="e">
        <f>'Non-Irrigated Base'!#REF!</f>
        <v>#REF!</v>
      </c>
      <c r="I2" t="s">
        <v>379</v>
      </c>
      <c r="J2" s="13" t="e">
        <f>'Non-Irrigated Base'!#REF!</f>
        <v>#REF!</v>
      </c>
      <c r="K2" s="13">
        <f>'Non-Irrigated Base'!E40</f>
        <v>534.35200499999996</v>
      </c>
      <c r="L2" s="13" t="e">
        <f>'Non-Irrigated Base'!#REF!</f>
        <v>#REF!</v>
      </c>
    </row>
    <row r="3" spans="1:12" ht="15.75" x14ac:dyDescent="0.25">
      <c r="A3" s="11" t="s">
        <v>37</v>
      </c>
      <c r="B3" s="12" t="e">
        <f>SUM(B4:B7)</f>
        <v>#REF!</v>
      </c>
      <c r="C3" s="12" t="e">
        <f>SUM(C4:C7)</f>
        <v>#REF!</v>
      </c>
      <c r="D3" s="12" t="e">
        <f>SUM(D4:D7)</f>
        <v>#REF!</v>
      </c>
      <c r="I3" t="s">
        <v>380</v>
      </c>
      <c r="J3" s="13" t="e">
        <f>'Non-Irrigated Base'!#REF!</f>
        <v>#REF!</v>
      </c>
      <c r="K3" s="13">
        <f>'Non-Irrigated Base'!E51</f>
        <v>224</v>
      </c>
      <c r="L3" s="13" t="e">
        <f>'Non-Irrigated Base'!#REF!</f>
        <v>#REF!</v>
      </c>
    </row>
    <row r="4" spans="1:12" ht="15.75" hidden="1" x14ac:dyDescent="0.25">
      <c r="A4" s="14" t="s">
        <v>0</v>
      </c>
      <c r="B4" s="12" t="e">
        <f>'Non-Irrigated Base'!#REF!</f>
        <v>#REF!</v>
      </c>
      <c r="C4" s="12" t="e">
        <f>'Non-Irrigated Base'!#REF!</f>
        <v>#REF!</v>
      </c>
      <c r="D4" s="12" t="e">
        <f>'Non-Irrigated Base'!#REF!</f>
        <v>#REF!</v>
      </c>
      <c r="I4" t="s">
        <v>381</v>
      </c>
      <c r="J4" s="13" t="e">
        <f>'Non-Irrigated Base'!#REF!</f>
        <v>#REF!</v>
      </c>
      <c r="K4" s="13">
        <f>'Non-Irrigated Base'!E52</f>
        <v>758.35200499999996</v>
      </c>
      <c r="L4" s="13" t="e">
        <f>'Non-Irrigated Base'!#REF!</f>
        <v>#REF!</v>
      </c>
    </row>
    <row r="5" spans="1:12" ht="15.75" hidden="1" x14ac:dyDescent="0.25">
      <c r="A5" s="14" t="s">
        <v>1</v>
      </c>
      <c r="B5" s="12" t="e">
        <f>'Non-Irrigated Base'!#REF!</f>
        <v>#REF!</v>
      </c>
      <c r="C5" s="12" t="e">
        <f>'Non-Irrigated Base'!#REF!</f>
        <v>#REF!</v>
      </c>
      <c r="D5" s="12" t="e">
        <f>'Non-Irrigated Base'!#REF!</f>
        <v>#REF!</v>
      </c>
    </row>
    <row r="6" spans="1:12" ht="15.75" hidden="1" x14ac:dyDescent="0.25">
      <c r="A6" s="14" t="s">
        <v>292</v>
      </c>
      <c r="B6" s="12" t="e">
        <f>'Non-Irrigated Base'!#REF!</f>
        <v>#REF!</v>
      </c>
      <c r="C6" s="12" t="e">
        <f>'Non-Irrigated Base'!#REF!</f>
        <v>#REF!</v>
      </c>
      <c r="D6" s="12" t="e">
        <f>'Non-Irrigated Base'!#REF!</f>
        <v>#REF!</v>
      </c>
    </row>
    <row r="7" spans="1:12" ht="15.75" hidden="1" x14ac:dyDescent="0.25">
      <c r="A7" s="14" t="s">
        <v>293</v>
      </c>
      <c r="B7" s="12" t="e">
        <f>'Non-Irrigated Base'!#REF!</f>
        <v>#REF!</v>
      </c>
      <c r="C7" s="12" t="e">
        <f>'Non-Irrigated Base'!#REF!</f>
        <v>#REF!</v>
      </c>
      <c r="D7" s="12" t="e">
        <f>'Non-Irrigated Base'!#REF!</f>
        <v>#REF!</v>
      </c>
    </row>
    <row r="8" spans="1:12" ht="15.75" x14ac:dyDescent="0.25">
      <c r="A8" s="11" t="s">
        <v>257</v>
      </c>
      <c r="B8" s="12" t="e">
        <f>SUM(B9:B11)</f>
        <v>#REF!</v>
      </c>
      <c r="C8" s="12" t="e">
        <f>SUM(C9:C11)</f>
        <v>#REF!</v>
      </c>
      <c r="D8" s="12" t="e">
        <f>SUM(D9:D11)</f>
        <v>#REF!</v>
      </c>
      <c r="I8" t="s">
        <v>381</v>
      </c>
      <c r="J8" s="1" t="e">
        <f>SUM(J2:J3)</f>
        <v>#REF!</v>
      </c>
      <c r="K8" s="1">
        <f t="shared" ref="K8:L8" si="0">SUM(K2:K3)</f>
        <v>758.35200499999996</v>
      </c>
      <c r="L8" s="1" t="e">
        <f t="shared" si="0"/>
        <v>#REF!</v>
      </c>
    </row>
    <row r="9" spans="1:12" ht="15.75" hidden="1" x14ac:dyDescent="0.25">
      <c r="A9" s="14" t="s">
        <v>258</v>
      </c>
      <c r="B9" s="12" t="e">
        <f>'Non-Irrigated Base'!#REF!</f>
        <v>#REF!</v>
      </c>
      <c r="C9" s="12" t="e">
        <f>'Non-Irrigated Base'!#REF!</f>
        <v>#REF!</v>
      </c>
      <c r="D9" s="12" t="e">
        <f>'Non-Irrigated Base'!#REF!</f>
        <v>#REF!</v>
      </c>
    </row>
    <row r="10" spans="1:12" ht="15.75" hidden="1" x14ac:dyDescent="0.25">
      <c r="A10" s="14" t="s">
        <v>55</v>
      </c>
      <c r="B10" s="12" t="e">
        <f>'Non-Irrigated Base'!#REF!</f>
        <v>#REF!</v>
      </c>
      <c r="C10" s="12" t="e">
        <f>'Non-Irrigated Base'!#REF!</f>
        <v>#REF!</v>
      </c>
      <c r="D10" s="12" t="e">
        <f>'Non-Irrigated Base'!#REF!</f>
        <v>#REF!</v>
      </c>
    </row>
    <row r="11" spans="1:12" ht="15.75" hidden="1" x14ac:dyDescent="0.25">
      <c r="A11" s="14" t="s">
        <v>72</v>
      </c>
      <c r="B11" s="12" t="e">
        <f>'Non-Irrigated Base'!#REF!</f>
        <v>#REF!</v>
      </c>
      <c r="C11" s="12" t="e">
        <f>'Non-Irrigated Base'!#REF!</f>
        <v>#REF!</v>
      </c>
      <c r="D11" s="12" t="e">
        <f>'Non-Irrigated Base'!#REF!</f>
        <v>#REF!</v>
      </c>
    </row>
    <row r="12" spans="1:12" ht="15.75" x14ac:dyDescent="0.25">
      <c r="A12" s="11" t="s">
        <v>41</v>
      </c>
      <c r="B12" s="12" t="e">
        <f>'Non-Irrigated Base'!#REF!</f>
        <v>#REF!</v>
      </c>
      <c r="C12" s="12">
        <f>'Non-Irrigated Base'!E22</f>
        <v>27</v>
      </c>
      <c r="D12" s="12" t="e">
        <f>'Non-Irrigated Base'!#REF!</f>
        <v>#REF!</v>
      </c>
    </row>
    <row r="13" spans="1:12" ht="15.75" x14ac:dyDescent="0.25">
      <c r="A13" s="11" t="s">
        <v>253</v>
      </c>
      <c r="B13" s="12" t="e">
        <f>'Non-Irrigated Base'!#REF!</f>
        <v>#REF!</v>
      </c>
      <c r="C13" s="12">
        <f>'Non-Irrigated Base'!E23</f>
        <v>2</v>
      </c>
      <c r="D13" s="12" t="e">
        <f>'Non-Irrigated Base'!#REF!</f>
        <v>#REF!</v>
      </c>
    </row>
    <row r="14" spans="1:12" ht="15.75" x14ac:dyDescent="0.25">
      <c r="A14" s="11" t="s">
        <v>47</v>
      </c>
      <c r="B14" s="12" t="e">
        <f>'Non-Irrigated Base'!#REF!</f>
        <v>#REF!</v>
      </c>
      <c r="C14" s="12" t="e">
        <f>'Non-Irrigated Base'!#REF!</f>
        <v>#REF!</v>
      </c>
      <c r="D14" s="12" t="e">
        <f>'Non-Irrigated Base'!#REF!</f>
        <v>#REF!</v>
      </c>
    </row>
    <row r="15" spans="1:12" ht="15.75" x14ac:dyDescent="0.25">
      <c r="A15" s="11" t="s">
        <v>43</v>
      </c>
      <c r="B15" s="12" t="e">
        <f>SUM(B16:B17)</f>
        <v>#REF!</v>
      </c>
      <c r="C15" s="12" t="e">
        <f>SUM(C16:C17)</f>
        <v>#REF!</v>
      </c>
      <c r="D15" s="12" t="e">
        <f>SUM(D16:D17)</f>
        <v>#REF!</v>
      </c>
    </row>
    <row r="16" spans="1:12" ht="15.75" hidden="1" x14ac:dyDescent="0.25">
      <c r="A16" s="15" t="s">
        <v>44</v>
      </c>
      <c r="B16" s="12" t="e">
        <f>'Non-Irrigated Base'!#REF!</f>
        <v>#REF!</v>
      </c>
      <c r="C16" s="12" t="e">
        <f>'Non-Irrigated Base'!#REF!</f>
        <v>#REF!</v>
      </c>
      <c r="D16" s="12" t="e">
        <f>'Non-Irrigated Base'!#REF!</f>
        <v>#REF!</v>
      </c>
    </row>
    <row r="17" spans="1:4" ht="15.75" hidden="1" x14ac:dyDescent="0.25">
      <c r="A17" s="15" t="s">
        <v>45</v>
      </c>
      <c r="B17" s="12" t="e">
        <f>'Non-Irrigated Base'!#REF!</f>
        <v>#REF!</v>
      </c>
      <c r="C17" s="12" t="e">
        <f>'Non-Irrigated Base'!#REF!</f>
        <v>#REF!</v>
      </c>
      <c r="D17" s="12" t="e">
        <f>'Non-Irrigated Base'!#REF!</f>
        <v>#REF!</v>
      </c>
    </row>
    <row r="18" spans="1:4" ht="15.75" x14ac:dyDescent="0.25">
      <c r="A18" s="11" t="s">
        <v>46</v>
      </c>
      <c r="B18" s="12" t="e">
        <f>SUM(B19:B20)</f>
        <v>#REF!</v>
      </c>
      <c r="C18" s="12" t="e">
        <f>SUM(C19:C20)</f>
        <v>#REF!</v>
      </c>
      <c r="D18" s="12" t="e">
        <f>SUM(D19:D20)</f>
        <v>#REF!</v>
      </c>
    </row>
    <row r="19" spans="1:4" ht="15.75" hidden="1" x14ac:dyDescent="0.25">
      <c r="A19" s="16" t="s">
        <v>254</v>
      </c>
      <c r="B19" s="12" t="e">
        <f>'Non-Irrigated Base'!#REF!</f>
        <v>#REF!</v>
      </c>
      <c r="C19" s="12">
        <f>'Non-Irrigated Base'!E26</f>
        <v>55</v>
      </c>
      <c r="D19" s="12" t="e">
        <f>'Non-Irrigated Base'!#REF!</f>
        <v>#REF!</v>
      </c>
    </row>
    <row r="20" spans="1:4" ht="15.75" hidden="1" x14ac:dyDescent="0.25">
      <c r="A20" s="16" t="s">
        <v>255</v>
      </c>
      <c r="B20" s="12" t="e">
        <f>'Non-Irrigated Base'!#REF!</f>
        <v>#REF!</v>
      </c>
      <c r="C20" s="12" t="e">
        <f>'Non-Irrigated Base'!#REF!</f>
        <v>#REF!</v>
      </c>
      <c r="D20" s="12" t="e">
        <f>'Non-Irrigated Base'!#REF!</f>
        <v>#REF!</v>
      </c>
    </row>
    <row r="21" spans="1:4" ht="15.75" x14ac:dyDescent="0.25">
      <c r="A21" s="11" t="s">
        <v>38</v>
      </c>
      <c r="B21" s="12" t="e">
        <f>SUM(B22:B24)</f>
        <v>#REF!</v>
      </c>
      <c r="C21" s="12" t="e">
        <f>SUM(C22:C24)</f>
        <v>#REF!</v>
      </c>
      <c r="D21" s="12" t="e">
        <f>SUM(D22:D24)</f>
        <v>#REF!</v>
      </c>
    </row>
    <row r="22" spans="1:4" ht="15.75" hidden="1" x14ac:dyDescent="0.25">
      <c r="A22" s="15" t="s">
        <v>39</v>
      </c>
      <c r="B22" s="12" t="e">
        <f>'Non-Irrigated Base'!#REF!</f>
        <v>#REF!</v>
      </c>
      <c r="C22" s="12">
        <f>'Non-Irrigated Base'!E27</f>
        <v>15</v>
      </c>
      <c r="D22" s="12" t="e">
        <f>'Non-Irrigated Base'!#REF!</f>
        <v>#REF!</v>
      </c>
    </row>
    <row r="23" spans="1:4" ht="15.75" hidden="1" x14ac:dyDescent="0.25">
      <c r="A23" s="15" t="s">
        <v>40</v>
      </c>
      <c r="B23" s="12" t="e">
        <f>'Non-Irrigated Base'!#REF!</f>
        <v>#REF!</v>
      </c>
      <c r="C23" s="12">
        <f>'Non-Irrigated Base'!E28</f>
        <v>8</v>
      </c>
      <c r="D23" s="12" t="e">
        <f>'Non-Irrigated Base'!#REF!</f>
        <v>#REF!</v>
      </c>
    </row>
    <row r="24" spans="1:4" ht="15.75" hidden="1" x14ac:dyDescent="0.25">
      <c r="A24" s="15" t="s">
        <v>168</v>
      </c>
      <c r="B24" s="12" t="e">
        <f>'Non-Irrigated Base'!#REF!</f>
        <v>#REF!</v>
      </c>
      <c r="C24" s="12" t="e">
        <f>'Non-Irrigated Base'!#REF!</f>
        <v>#REF!</v>
      </c>
      <c r="D24" s="12" t="e">
        <f>'Non-Irrigated Base'!#REF!</f>
        <v>#REF!</v>
      </c>
    </row>
    <row r="25" spans="1:4" ht="15.75" x14ac:dyDescent="0.25">
      <c r="A25" s="11" t="s">
        <v>42</v>
      </c>
      <c r="B25" s="12" t="e">
        <f>'Non-Irrigated Base'!#REF!</f>
        <v>#REF!</v>
      </c>
      <c r="C25" s="12">
        <f>'Non-Irrigated Base'!E29</f>
        <v>3</v>
      </c>
      <c r="D25" s="12" t="e">
        <f>'Non-Irrigated Base'!#REF!</f>
        <v>#REF!</v>
      </c>
    </row>
    <row r="26" spans="1:4" ht="15.75" x14ac:dyDescent="0.25">
      <c r="A26" s="11" t="s">
        <v>48</v>
      </c>
      <c r="B26" s="12" t="e">
        <f>'Non-Irrigated Base'!#REF!</f>
        <v>#REF!</v>
      </c>
      <c r="C26" s="12">
        <f>'Non-Irrigated Base'!E30</f>
        <v>1.5</v>
      </c>
      <c r="D26" s="12" t="e">
        <f>'Non-Irrigated Base'!#REF!</f>
        <v>#REF!</v>
      </c>
    </row>
    <row r="27" spans="1:4" ht="15.75" x14ac:dyDescent="0.25">
      <c r="A27" s="11" t="s">
        <v>49</v>
      </c>
      <c r="B27" s="12" t="e">
        <f>'Non-Irrigated Base'!#REF!</f>
        <v>#REF!</v>
      </c>
      <c r="C27" s="12">
        <f>'Non-Irrigated Base'!E31</f>
        <v>5</v>
      </c>
      <c r="D27" s="12" t="e">
        <f>'Non-Irrigated Base'!#REF!</f>
        <v>#REF!</v>
      </c>
    </row>
    <row r="28" spans="1:4" ht="15.75" x14ac:dyDescent="0.25">
      <c r="A28" s="11" t="s">
        <v>50</v>
      </c>
      <c r="B28" s="12" t="e">
        <f>SUM(B29:B30)</f>
        <v>#REF!</v>
      </c>
      <c r="C28" s="12" t="e">
        <f>SUM(C29:C30)</f>
        <v>#REF!</v>
      </c>
      <c r="D28" s="12" t="e">
        <f>SUM(D29:D30)</f>
        <v>#REF!</v>
      </c>
    </row>
    <row r="29" spans="1:4" ht="15.75" hidden="1" x14ac:dyDescent="0.25">
      <c r="A29" s="15" t="s">
        <v>56</v>
      </c>
      <c r="B29" s="12" t="e">
        <f>'Non-Irrigated Base'!#REF!</f>
        <v>#REF!</v>
      </c>
      <c r="C29" s="12" t="e">
        <f>'Non-Irrigated Base'!#REF!</f>
        <v>#REF!</v>
      </c>
      <c r="D29" s="12" t="e">
        <f>'Non-Irrigated Base'!#REF!</f>
        <v>#REF!</v>
      </c>
    </row>
    <row r="30" spans="1:4" ht="15.75" hidden="1" x14ac:dyDescent="0.25">
      <c r="A30" s="15" t="s">
        <v>57</v>
      </c>
      <c r="B30" s="12" t="e">
        <f>'Non-Irrigated Base'!#REF!</f>
        <v>#REF!</v>
      </c>
      <c r="C30" s="12" t="e">
        <f>'Non-Irrigated Base'!#REF!</f>
        <v>#REF!</v>
      </c>
      <c r="D30" s="12" t="e">
        <f>'Non-Irrigated Base'!#REF!</f>
        <v>#REF!</v>
      </c>
    </row>
    <row r="31" spans="1:4" ht="15.75" x14ac:dyDescent="0.25">
      <c r="A31" s="11" t="s">
        <v>368</v>
      </c>
      <c r="B31" s="12" t="e">
        <f>'Non-Irrigated Base'!#REF!</f>
        <v>#REF!</v>
      </c>
      <c r="C31" s="12">
        <f>'Non-Irrigated Base'!E32</f>
        <v>18</v>
      </c>
      <c r="D31" s="12" t="e">
        <f>'Non-Irrigated Base'!#REF!</f>
        <v>#REF!</v>
      </c>
    </row>
    <row r="32" spans="1:4" ht="15.75" hidden="1" x14ac:dyDescent="0.25">
      <c r="A32" s="2" t="s">
        <v>367</v>
      </c>
      <c r="B32" s="12" t="e">
        <f>'Non-Irrigated Base'!#REF!</f>
        <v>#REF!</v>
      </c>
      <c r="C32" s="12">
        <f>'Non-Irrigated Base'!E35</f>
        <v>14</v>
      </c>
      <c r="D32" s="12" t="e">
        <f>'Non-Irrigated Base'!#REF!</f>
        <v>#REF!</v>
      </c>
    </row>
    <row r="33" spans="1:4" ht="15.75" hidden="1" x14ac:dyDescent="0.25">
      <c r="A33" s="11" t="s">
        <v>382</v>
      </c>
      <c r="B33" s="12" t="e">
        <f>'Non-Irrigated Base'!#REF!</f>
        <v>#REF!</v>
      </c>
      <c r="C33" s="12" t="e">
        <f>'Non-Irrigated Base'!#REF!</f>
        <v>#REF!</v>
      </c>
      <c r="D33" s="12" t="e">
        <f>'Non-Irrigated Base'!#REF!</f>
        <v>#REF!</v>
      </c>
    </row>
    <row r="34" spans="1:4" ht="15.75" x14ac:dyDescent="0.25">
      <c r="A34" s="2" t="s">
        <v>256</v>
      </c>
      <c r="B34" s="12" t="e">
        <f>'Non-Irrigated Base'!#REF!</f>
        <v>#REF!</v>
      </c>
      <c r="C34" s="12">
        <f>'Non-Irrigated Base'!E44</f>
        <v>12</v>
      </c>
      <c r="D34" s="12" t="e">
        <f>'Non-Irrigated Base'!#REF!</f>
        <v>#REF!</v>
      </c>
    </row>
    <row r="35" spans="1:4" ht="15.75" hidden="1" x14ac:dyDescent="0.25">
      <c r="A35" s="2" t="s">
        <v>374</v>
      </c>
      <c r="B35" s="12" t="e">
        <f>'Non-Irrigated Base'!#REF!</f>
        <v>#REF!</v>
      </c>
      <c r="C35" s="12" t="e">
        <f>'Non-Irrigated Base'!#REF!</f>
        <v>#REF!</v>
      </c>
      <c r="D35" s="12" t="e">
        <f>'Non-Irrigated Base'!#REF!</f>
        <v>#REF!</v>
      </c>
    </row>
    <row r="36" spans="1:4" ht="15.75" x14ac:dyDescent="0.25">
      <c r="A36" s="2" t="s">
        <v>169</v>
      </c>
      <c r="B36" s="12" t="e">
        <f>'Non-Irrigated Base'!#REF!</f>
        <v>#REF!</v>
      </c>
      <c r="C36" s="12">
        <f>'Non-Irrigated Base'!E45</f>
        <v>143</v>
      </c>
      <c r="D36" s="12" t="e">
        <f>'Non-Irrigated Base'!#REF!</f>
        <v>#REF!</v>
      </c>
    </row>
    <row r="37" spans="1:4" ht="15.75" x14ac:dyDescent="0.25">
      <c r="A37" s="2" t="s">
        <v>383</v>
      </c>
      <c r="B37" s="12" t="e">
        <f>'Non-Irrigated Base'!#REF!</f>
        <v>#REF!</v>
      </c>
      <c r="C37" s="12" t="e">
        <f>'Non-Irrigated Base'!#REF!</f>
        <v>#REF!</v>
      </c>
      <c r="D37" s="12" t="e">
        <f>'Non-Irrigated Base'!#REF!</f>
        <v>#REF!</v>
      </c>
    </row>
    <row r="38" spans="1:4" ht="15.75" hidden="1" x14ac:dyDescent="0.25">
      <c r="A38" s="2" t="s">
        <v>384</v>
      </c>
      <c r="B38" s="12" t="e">
        <f>'Non-Irrigated Base'!#REF!</f>
        <v>#REF!</v>
      </c>
      <c r="C38" s="12">
        <f>'Non-Irrigated Base'!E50</f>
        <v>0</v>
      </c>
      <c r="D38" s="12" t="e">
        <f>'Non-Irrigated Base'!#REF!</f>
        <v>#REF!</v>
      </c>
    </row>
    <row r="39" spans="1:4" ht="15.75" x14ac:dyDescent="0.25">
      <c r="A39" s="2" t="s">
        <v>385</v>
      </c>
      <c r="B39" s="12" t="e">
        <f>B38+B33</f>
        <v>#REF!</v>
      </c>
      <c r="C39" s="12" t="e">
        <f t="shared" ref="C39:D39" si="1">C38+C33</f>
        <v>#REF!</v>
      </c>
      <c r="D39" s="12" t="e">
        <f t="shared" si="1"/>
        <v>#REF!</v>
      </c>
    </row>
    <row r="40" spans="1:4" ht="15.75" x14ac:dyDescent="0.25">
      <c r="A40" s="2" t="s">
        <v>288</v>
      </c>
      <c r="B40" s="12" t="e">
        <f>'Non-Irrigated Base'!#REF!</f>
        <v>#REF!</v>
      </c>
      <c r="C40" s="12" t="e">
        <f>'Non-Irrigated Base'!#REF!</f>
        <v>#REF!</v>
      </c>
      <c r="D40" s="12" t="e">
        <f>'Non-Irrigated Base'!#REF!</f>
        <v>#REF!</v>
      </c>
    </row>
    <row r="41" spans="1:4" ht="15.75" x14ac:dyDescent="0.25">
      <c r="A41" s="2" t="s">
        <v>386</v>
      </c>
      <c r="B41" s="12" t="e">
        <f>'Non-Irrigated Base'!#REF!</f>
        <v>#REF!</v>
      </c>
      <c r="C41" s="12" t="e">
        <f>'Non-Irrigated Base'!#REF!</f>
        <v>#REF!</v>
      </c>
      <c r="D41" s="12" t="e">
        <f>'Non-Irrigated Base'!#REF!</f>
        <v>#REF!</v>
      </c>
    </row>
    <row r="42" spans="1:4" ht="15.75" hidden="1" x14ac:dyDescent="0.25">
      <c r="A42" s="2" t="s">
        <v>369</v>
      </c>
      <c r="B42" s="12" t="e">
        <f>'Non-Irrigated Base'!#REF!</f>
        <v>#REF!</v>
      </c>
      <c r="C42" s="12">
        <f>'Non-Irrigated Base'!E46</f>
        <v>8</v>
      </c>
      <c r="D42" s="12" t="e">
        <f>'Non-Irrigated Base'!#REF!</f>
        <v>#REF!</v>
      </c>
    </row>
    <row r="43" spans="1:4" ht="15.75" x14ac:dyDescent="0.25">
      <c r="A43" s="2" t="s">
        <v>387</v>
      </c>
      <c r="B43" s="12" t="e">
        <f>B42+B32</f>
        <v>#REF!</v>
      </c>
      <c r="C43" s="12">
        <f t="shared" ref="C43:D43" si="2">C42+C32</f>
        <v>22</v>
      </c>
      <c r="D43" s="12" t="e">
        <f t="shared" si="2"/>
        <v>#REF!</v>
      </c>
    </row>
    <row r="44" spans="1:4" ht="15.75" x14ac:dyDescent="0.25">
      <c r="A44" s="2" t="s">
        <v>289</v>
      </c>
      <c r="B44" s="12" t="e">
        <f>'Non-Irrigated Base'!#REF!</f>
        <v>#REF!</v>
      </c>
      <c r="C44" s="12" t="e">
        <f>'Non-Irrigated Base'!#REF!</f>
        <v>#REF!</v>
      </c>
      <c r="D44" s="12" t="e">
        <f>'Non-Irrigated Base'!#REF!</f>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70"/>
  <sheetViews>
    <sheetView topLeftCell="A19" workbookViewId="0">
      <selection activeCell="I167" sqref="I167"/>
    </sheetView>
  </sheetViews>
  <sheetFormatPr defaultRowHeight="15" x14ac:dyDescent="0.25"/>
  <cols>
    <col min="1" max="1" width="61.42578125" bestFit="1" customWidth="1"/>
    <col min="2" max="2" width="11.140625" bestFit="1" customWidth="1"/>
    <col min="4" max="4" width="11.140625" bestFit="1" customWidth="1"/>
    <col min="5" max="5" width="12.28515625" bestFit="1" customWidth="1"/>
    <col min="6" max="6" width="12.85546875" style="5" customWidth="1"/>
    <col min="7" max="7" width="2" bestFit="1" customWidth="1"/>
    <col min="8" max="8" width="11" bestFit="1" customWidth="1"/>
    <col min="9" max="9" width="61.42578125" bestFit="1" customWidth="1"/>
    <col min="10" max="10" width="8.7109375" bestFit="1" customWidth="1"/>
    <col min="12" max="12" width="11.140625" bestFit="1" customWidth="1"/>
    <col min="13" max="13" width="11" bestFit="1" customWidth="1"/>
    <col min="14" max="14" width="12.85546875" bestFit="1" customWidth="1"/>
    <col min="15" max="15" width="2" bestFit="1" customWidth="1"/>
    <col min="17" max="17" width="38.140625" customWidth="1"/>
    <col min="18" max="18" width="8.7109375" customWidth="1"/>
    <col min="20" max="20" width="11.140625" bestFit="1" customWidth="1"/>
    <col min="21" max="21" width="7" customWidth="1"/>
    <col min="22" max="22" width="12.85546875" bestFit="1" customWidth="1"/>
  </cols>
  <sheetData>
    <row r="1" spans="1:22" x14ac:dyDescent="0.25">
      <c r="A1" s="4">
        <v>1</v>
      </c>
      <c r="B1" s="4">
        <v>2</v>
      </c>
      <c r="C1" s="4">
        <v>3</v>
      </c>
      <c r="D1" s="4">
        <v>4</v>
      </c>
      <c r="E1" s="4">
        <v>5</v>
      </c>
      <c r="F1" s="5" t="s">
        <v>167</v>
      </c>
      <c r="I1" s="4">
        <v>1</v>
      </c>
      <c r="J1" s="4">
        <v>2</v>
      </c>
      <c r="K1" s="4">
        <v>3</v>
      </c>
      <c r="L1" s="4">
        <v>4</v>
      </c>
      <c r="M1" s="4">
        <v>5</v>
      </c>
      <c r="N1" s="5" t="s">
        <v>167</v>
      </c>
      <c r="Q1" s="4">
        <v>1</v>
      </c>
      <c r="R1" s="4">
        <v>2</v>
      </c>
      <c r="S1" s="4">
        <v>3</v>
      </c>
      <c r="T1" s="4">
        <v>4</v>
      </c>
      <c r="U1" s="4">
        <v>5</v>
      </c>
      <c r="V1" s="5" t="s">
        <v>167</v>
      </c>
    </row>
    <row r="2" spans="1:22" ht="18.75" x14ac:dyDescent="0.3">
      <c r="A2" s="280" t="s">
        <v>61</v>
      </c>
      <c r="B2" s="280"/>
      <c r="C2" s="280"/>
      <c r="D2" s="280"/>
      <c r="E2" s="280"/>
      <c r="F2" s="280"/>
      <c r="I2" s="280" t="s">
        <v>65</v>
      </c>
      <c r="J2" s="280"/>
      <c r="K2" s="280"/>
      <c r="L2" s="280"/>
      <c r="M2" s="280"/>
      <c r="N2" s="280"/>
      <c r="Q2" s="280" t="s">
        <v>250</v>
      </c>
      <c r="R2" s="280"/>
      <c r="S2" s="280"/>
      <c r="T2" s="280"/>
      <c r="U2" s="280"/>
      <c r="V2" s="280"/>
    </row>
    <row r="3" spans="1:22" x14ac:dyDescent="0.25">
      <c r="A3" t="s">
        <v>5</v>
      </c>
      <c r="B3" t="s">
        <v>8</v>
      </c>
      <c r="C3" t="s">
        <v>7</v>
      </c>
      <c r="D3" t="s">
        <v>6</v>
      </c>
      <c r="E3" t="s">
        <v>129</v>
      </c>
      <c r="F3" s="5" t="s">
        <v>130</v>
      </c>
      <c r="I3" t="s">
        <v>5</v>
      </c>
      <c r="J3" t="s">
        <v>8</v>
      </c>
      <c r="K3" t="s">
        <v>7</v>
      </c>
      <c r="L3" t="s">
        <v>6</v>
      </c>
      <c r="M3" t="s">
        <v>129</v>
      </c>
      <c r="N3" s="5" t="s">
        <v>130</v>
      </c>
      <c r="Q3" t="s">
        <v>5</v>
      </c>
      <c r="R3" t="s">
        <v>8</v>
      </c>
      <c r="S3" t="s">
        <v>7</v>
      </c>
      <c r="T3" t="s">
        <v>6</v>
      </c>
      <c r="U3" t="s">
        <v>129</v>
      </c>
      <c r="V3" s="5" t="s">
        <v>130</v>
      </c>
    </row>
    <row r="4" spans="1:22" x14ac:dyDescent="0.25">
      <c r="A4" t="s">
        <v>2</v>
      </c>
      <c r="C4">
        <v>1</v>
      </c>
      <c r="D4" t="s">
        <v>2</v>
      </c>
      <c r="E4" t="s">
        <v>2</v>
      </c>
      <c r="I4" t="s">
        <v>2</v>
      </c>
      <c r="K4">
        <v>1</v>
      </c>
      <c r="L4" t="s">
        <v>2</v>
      </c>
      <c r="M4" t="s">
        <v>2</v>
      </c>
      <c r="N4" s="5"/>
      <c r="Q4" t="s">
        <v>2</v>
      </c>
      <c r="S4">
        <v>1</v>
      </c>
      <c r="T4" t="s">
        <v>2</v>
      </c>
      <c r="U4" t="s">
        <v>2</v>
      </c>
      <c r="V4" s="5"/>
    </row>
    <row r="5" spans="1:22" ht="15.75" x14ac:dyDescent="0.25">
      <c r="A5" s="2" t="s">
        <v>87</v>
      </c>
      <c r="B5" t="s">
        <v>9</v>
      </c>
      <c r="C5" s="3">
        <v>4</v>
      </c>
      <c r="D5" t="s">
        <v>12</v>
      </c>
      <c r="E5" t="s">
        <v>100</v>
      </c>
      <c r="F5" s="5" t="s">
        <v>154</v>
      </c>
      <c r="I5" s="2" t="s">
        <v>183</v>
      </c>
      <c r="J5" t="s">
        <v>14</v>
      </c>
      <c r="K5" s="3">
        <v>16</v>
      </c>
      <c r="L5" t="s">
        <v>4</v>
      </c>
      <c r="M5" t="s">
        <v>100</v>
      </c>
      <c r="N5" s="5" t="s">
        <v>184</v>
      </c>
      <c r="Q5" t="s">
        <v>228</v>
      </c>
      <c r="R5" t="s">
        <v>11</v>
      </c>
      <c r="S5" s="3">
        <v>8</v>
      </c>
      <c r="T5" t="s">
        <v>12</v>
      </c>
      <c r="V5" s="5">
        <v>4</v>
      </c>
    </row>
    <row r="6" spans="1:22" ht="15.75" x14ac:dyDescent="0.25">
      <c r="A6" s="2" t="s">
        <v>88</v>
      </c>
      <c r="B6" t="s">
        <v>9</v>
      </c>
      <c r="C6" s="3">
        <v>4</v>
      </c>
      <c r="D6" t="s">
        <v>12</v>
      </c>
      <c r="E6" t="s">
        <v>100</v>
      </c>
      <c r="F6" s="5" t="s">
        <v>155</v>
      </c>
      <c r="I6" s="2" t="s">
        <v>89</v>
      </c>
      <c r="J6" t="s">
        <v>14</v>
      </c>
      <c r="K6" s="3">
        <v>128</v>
      </c>
      <c r="L6" t="s">
        <v>15</v>
      </c>
      <c r="M6" t="s">
        <v>100</v>
      </c>
      <c r="N6" s="5" t="s">
        <v>133</v>
      </c>
      <c r="Q6" t="s">
        <v>229</v>
      </c>
      <c r="R6" t="s">
        <v>11</v>
      </c>
      <c r="S6" s="3">
        <v>8</v>
      </c>
      <c r="T6" t="s">
        <v>12</v>
      </c>
      <c r="V6" s="5" t="s">
        <v>165</v>
      </c>
    </row>
    <row r="7" spans="1:22" ht="15.75" x14ac:dyDescent="0.25">
      <c r="A7" s="2" t="s">
        <v>90</v>
      </c>
      <c r="B7" t="s">
        <v>11</v>
      </c>
      <c r="C7" s="3">
        <v>8</v>
      </c>
      <c r="D7" t="s">
        <v>12</v>
      </c>
      <c r="E7" t="s">
        <v>100</v>
      </c>
      <c r="F7" s="5" t="s">
        <v>134</v>
      </c>
      <c r="I7" s="2" t="s">
        <v>185</v>
      </c>
      <c r="J7" t="s">
        <v>14</v>
      </c>
      <c r="K7" s="3">
        <v>128</v>
      </c>
      <c r="L7" t="s">
        <v>15</v>
      </c>
      <c r="M7" t="s">
        <v>100</v>
      </c>
      <c r="N7" s="5" t="s">
        <v>186</v>
      </c>
      <c r="Q7" t="s">
        <v>230</v>
      </c>
      <c r="R7" t="s">
        <v>14</v>
      </c>
      <c r="S7" s="3">
        <v>16</v>
      </c>
      <c r="T7" t="s">
        <v>4</v>
      </c>
      <c r="V7" s="5" t="s">
        <v>143</v>
      </c>
    </row>
    <row r="8" spans="1:22" ht="15.75" x14ac:dyDescent="0.25">
      <c r="A8" s="2" t="s">
        <v>89</v>
      </c>
      <c r="B8" t="s">
        <v>14</v>
      </c>
      <c r="C8" s="3">
        <v>128</v>
      </c>
      <c r="D8" t="s">
        <v>15</v>
      </c>
      <c r="E8" t="s">
        <v>100</v>
      </c>
      <c r="F8" s="5" t="s">
        <v>156</v>
      </c>
      <c r="I8" s="2" t="s">
        <v>187</v>
      </c>
      <c r="J8" t="s">
        <v>14</v>
      </c>
      <c r="K8" s="3">
        <v>16</v>
      </c>
      <c r="L8" t="s">
        <v>4</v>
      </c>
      <c r="M8" t="s">
        <v>100</v>
      </c>
      <c r="N8" s="5" t="s">
        <v>186</v>
      </c>
      <c r="Q8" t="s">
        <v>231</v>
      </c>
      <c r="R8" t="s">
        <v>14</v>
      </c>
      <c r="S8" s="3">
        <v>128</v>
      </c>
      <c r="T8" t="s">
        <v>12</v>
      </c>
      <c r="V8" s="5" t="s">
        <v>247</v>
      </c>
    </row>
    <row r="9" spans="1:22" ht="15.75" x14ac:dyDescent="0.25">
      <c r="A9" s="2" t="s">
        <v>16</v>
      </c>
      <c r="B9" t="s">
        <v>14</v>
      </c>
      <c r="C9" s="3">
        <v>128</v>
      </c>
      <c r="D9" t="s">
        <v>15</v>
      </c>
      <c r="E9" t="s">
        <v>100</v>
      </c>
      <c r="F9" s="5" t="s">
        <v>135</v>
      </c>
      <c r="I9" s="2" t="s">
        <v>188</v>
      </c>
      <c r="J9" t="s">
        <v>14</v>
      </c>
      <c r="K9" s="3">
        <v>16</v>
      </c>
      <c r="L9" t="s">
        <v>4</v>
      </c>
      <c r="M9" t="s">
        <v>100</v>
      </c>
      <c r="N9" s="5" t="s">
        <v>186</v>
      </c>
      <c r="Q9" t="s">
        <v>108</v>
      </c>
      <c r="R9" t="s">
        <v>11</v>
      </c>
      <c r="S9" s="3">
        <v>8</v>
      </c>
      <c r="T9" t="s">
        <v>12</v>
      </c>
      <c r="V9" s="5" t="s">
        <v>165</v>
      </c>
    </row>
    <row r="10" spans="1:22" ht="15.75" x14ac:dyDescent="0.25">
      <c r="A10" s="2" t="s">
        <v>78</v>
      </c>
      <c r="B10" t="s">
        <v>17</v>
      </c>
      <c r="C10" s="3">
        <v>1</v>
      </c>
      <c r="D10" t="s">
        <v>4</v>
      </c>
      <c r="E10" t="s">
        <v>101</v>
      </c>
      <c r="F10" s="5" t="s">
        <v>147</v>
      </c>
      <c r="I10" s="2" t="s">
        <v>189</v>
      </c>
      <c r="J10" t="s">
        <v>14</v>
      </c>
      <c r="K10" s="3">
        <v>16</v>
      </c>
      <c r="L10" t="s">
        <v>4</v>
      </c>
      <c r="M10" t="s">
        <v>100</v>
      </c>
      <c r="N10" s="5" t="s">
        <v>190</v>
      </c>
      <c r="Q10" s="2" t="s">
        <v>111</v>
      </c>
      <c r="R10" t="s">
        <v>11</v>
      </c>
      <c r="S10" s="3">
        <v>8</v>
      </c>
      <c r="T10" t="s">
        <v>12</v>
      </c>
      <c r="V10" s="5">
        <v>6</v>
      </c>
    </row>
    <row r="11" spans="1:22" ht="15.75" x14ac:dyDescent="0.25">
      <c r="A11" s="2" t="s">
        <v>77</v>
      </c>
      <c r="B11" t="s">
        <v>9</v>
      </c>
      <c r="C11" s="3">
        <v>4</v>
      </c>
      <c r="D11" t="s">
        <v>12</v>
      </c>
      <c r="E11" t="s">
        <v>101</v>
      </c>
      <c r="F11" s="5" t="s">
        <v>147</v>
      </c>
      <c r="I11" s="2" t="s">
        <v>191</v>
      </c>
      <c r="J11" t="s">
        <v>14</v>
      </c>
      <c r="K11" s="3">
        <v>16</v>
      </c>
      <c r="L11" t="s">
        <v>4</v>
      </c>
      <c r="M11" t="s">
        <v>100</v>
      </c>
      <c r="N11" s="5" t="s">
        <v>186</v>
      </c>
      <c r="Q11" t="s">
        <v>232</v>
      </c>
      <c r="R11" t="s">
        <v>11</v>
      </c>
      <c r="S11" s="3">
        <v>8</v>
      </c>
      <c r="T11" t="s">
        <v>12</v>
      </c>
      <c r="V11" s="5" t="s">
        <v>248</v>
      </c>
    </row>
    <row r="12" spans="1:22" ht="15.75" x14ac:dyDescent="0.25">
      <c r="A12" s="2" t="s">
        <v>79</v>
      </c>
      <c r="B12" t="s">
        <v>14</v>
      </c>
      <c r="C12" s="3">
        <v>128</v>
      </c>
      <c r="D12" t="s">
        <v>12</v>
      </c>
      <c r="E12" t="s">
        <v>101</v>
      </c>
      <c r="F12" s="5" t="s">
        <v>148</v>
      </c>
      <c r="I12" s="2" t="s">
        <v>62</v>
      </c>
      <c r="J12" t="s">
        <v>11</v>
      </c>
      <c r="K12" s="3">
        <v>8</v>
      </c>
      <c r="L12" t="s">
        <v>12</v>
      </c>
      <c r="M12" t="s">
        <v>100</v>
      </c>
      <c r="N12" s="5" t="s">
        <v>157</v>
      </c>
      <c r="Q12" t="s">
        <v>233</v>
      </c>
      <c r="R12" t="s">
        <v>14</v>
      </c>
      <c r="S12" s="3">
        <v>16</v>
      </c>
      <c r="T12" t="s">
        <v>4</v>
      </c>
      <c r="V12" s="5" t="s">
        <v>151</v>
      </c>
    </row>
    <row r="13" spans="1:22" ht="15.75" x14ac:dyDescent="0.25">
      <c r="A13" s="2" t="s">
        <v>91</v>
      </c>
      <c r="B13" t="s">
        <v>14</v>
      </c>
      <c r="C13" s="3">
        <v>128</v>
      </c>
      <c r="D13" t="s">
        <v>15</v>
      </c>
      <c r="E13" t="s">
        <v>100</v>
      </c>
      <c r="F13" s="5" t="s">
        <v>143</v>
      </c>
      <c r="I13" s="2" t="s">
        <v>170</v>
      </c>
      <c r="J13" t="s">
        <v>14</v>
      </c>
      <c r="K13" s="3">
        <v>128</v>
      </c>
      <c r="L13" t="s">
        <v>12</v>
      </c>
      <c r="M13" t="s">
        <v>101</v>
      </c>
      <c r="N13" s="5" t="s">
        <v>133</v>
      </c>
      <c r="Q13" t="s">
        <v>234</v>
      </c>
      <c r="R13" t="s">
        <v>14</v>
      </c>
      <c r="S13" s="3">
        <v>16</v>
      </c>
      <c r="T13" t="s">
        <v>4</v>
      </c>
      <c r="V13" s="5" t="s">
        <v>151</v>
      </c>
    </row>
    <row r="14" spans="1:22" ht="15.75" x14ac:dyDescent="0.25">
      <c r="A14" s="2" t="s">
        <v>158</v>
      </c>
      <c r="B14" t="s">
        <v>9</v>
      </c>
      <c r="C14" s="3">
        <v>5</v>
      </c>
      <c r="D14" t="s">
        <v>12</v>
      </c>
      <c r="E14" t="s">
        <v>100</v>
      </c>
      <c r="F14" s="5" t="s">
        <v>157</v>
      </c>
      <c r="I14" s="2" t="s">
        <v>192</v>
      </c>
      <c r="J14" t="s">
        <v>14</v>
      </c>
      <c r="K14" s="3">
        <v>128</v>
      </c>
      <c r="L14" t="s">
        <v>15</v>
      </c>
      <c r="M14" t="s">
        <v>100</v>
      </c>
      <c r="N14" s="5" t="s">
        <v>143</v>
      </c>
      <c r="Q14" t="s">
        <v>235</v>
      </c>
      <c r="R14" t="s">
        <v>14</v>
      </c>
      <c r="S14" s="3">
        <v>16</v>
      </c>
      <c r="T14" t="s">
        <v>4</v>
      </c>
      <c r="V14" s="5" t="s">
        <v>143</v>
      </c>
    </row>
    <row r="15" spans="1:22" ht="15.75" x14ac:dyDescent="0.25">
      <c r="A15" s="2" t="s">
        <v>92</v>
      </c>
      <c r="B15" t="s">
        <v>9</v>
      </c>
      <c r="C15" s="3">
        <v>4</v>
      </c>
      <c r="D15" t="s">
        <v>12</v>
      </c>
      <c r="E15" t="s">
        <v>100</v>
      </c>
      <c r="F15" s="5" t="s">
        <v>157</v>
      </c>
      <c r="I15" s="2" t="s">
        <v>171</v>
      </c>
      <c r="J15" t="s">
        <v>11</v>
      </c>
      <c r="K15" s="3">
        <v>8</v>
      </c>
      <c r="L15" t="s">
        <v>12</v>
      </c>
      <c r="M15" t="s">
        <v>101</v>
      </c>
      <c r="N15" s="5" t="s">
        <v>172</v>
      </c>
      <c r="Q15" t="s">
        <v>236</v>
      </c>
      <c r="R15" t="s">
        <v>14</v>
      </c>
      <c r="S15" s="3">
        <v>128</v>
      </c>
      <c r="T15" t="s">
        <v>12</v>
      </c>
      <c r="V15" s="5" t="s">
        <v>249</v>
      </c>
    </row>
    <row r="16" spans="1:22" ht="15.75" x14ac:dyDescent="0.25">
      <c r="A16" s="2" t="s">
        <v>94</v>
      </c>
      <c r="B16" t="s">
        <v>9</v>
      </c>
      <c r="C16" s="3">
        <v>4</v>
      </c>
      <c r="D16" t="s">
        <v>12</v>
      </c>
      <c r="E16" t="s">
        <v>100</v>
      </c>
      <c r="F16" s="5" t="s">
        <v>157</v>
      </c>
      <c r="I16" s="2" t="s">
        <v>173</v>
      </c>
      <c r="J16" t="s">
        <v>11</v>
      </c>
      <c r="K16" s="3">
        <v>8</v>
      </c>
      <c r="L16" t="s">
        <v>12</v>
      </c>
      <c r="M16" t="s">
        <v>101</v>
      </c>
      <c r="N16" s="5" t="s">
        <v>149</v>
      </c>
      <c r="Q16" t="s">
        <v>237</v>
      </c>
      <c r="R16" t="s">
        <v>11</v>
      </c>
      <c r="S16" s="3">
        <v>8</v>
      </c>
      <c r="T16" t="s">
        <v>12</v>
      </c>
      <c r="V16" s="5" t="s">
        <v>165</v>
      </c>
    </row>
    <row r="17" spans="1:22" ht="15.75" x14ac:dyDescent="0.25">
      <c r="A17" s="2" t="s">
        <v>93</v>
      </c>
      <c r="B17" t="s">
        <v>9</v>
      </c>
      <c r="C17" s="3">
        <v>4</v>
      </c>
      <c r="D17" t="s">
        <v>12</v>
      </c>
      <c r="E17" t="s">
        <v>100</v>
      </c>
      <c r="F17" s="5" t="s">
        <v>157</v>
      </c>
      <c r="I17" s="2" t="s">
        <v>224</v>
      </c>
      <c r="J17" t="s">
        <v>14</v>
      </c>
      <c r="K17">
        <v>128</v>
      </c>
      <c r="L17" t="s">
        <v>12</v>
      </c>
      <c r="M17" t="s">
        <v>101</v>
      </c>
      <c r="N17" s="5" t="s">
        <v>165</v>
      </c>
      <c r="Q17" t="s">
        <v>238</v>
      </c>
      <c r="R17" t="s">
        <v>14</v>
      </c>
      <c r="S17" s="3">
        <v>16</v>
      </c>
      <c r="T17" t="s">
        <v>4</v>
      </c>
      <c r="V17" s="5" t="s">
        <v>143</v>
      </c>
    </row>
    <row r="18" spans="1:22" ht="15.75" x14ac:dyDescent="0.25">
      <c r="A18" s="2" t="s">
        <v>80</v>
      </c>
      <c r="B18" t="s">
        <v>11</v>
      </c>
      <c r="C18" s="3">
        <v>8</v>
      </c>
      <c r="D18" t="s">
        <v>12</v>
      </c>
      <c r="E18" t="s">
        <v>101</v>
      </c>
      <c r="F18" s="5" t="s">
        <v>149</v>
      </c>
      <c r="I18" s="2" t="s">
        <v>193</v>
      </c>
      <c r="J18" t="s">
        <v>14</v>
      </c>
      <c r="K18" s="3">
        <v>16</v>
      </c>
      <c r="L18" t="s">
        <v>4</v>
      </c>
      <c r="M18" t="s">
        <v>100</v>
      </c>
      <c r="N18" s="5" t="s">
        <v>184</v>
      </c>
      <c r="Q18" t="s">
        <v>239</v>
      </c>
      <c r="R18" t="s">
        <v>14</v>
      </c>
      <c r="S18" s="3">
        <v>16</v>
      </c>
      <c r="T18" t="s">
        <v>4</v>
      </c>
      <c r="V18" s="5" t="s">
        <v>151</v>
      </c>
    </row>
    <row r="19" spans="1:22" ht="15.75" x14ac:dyDescent="0.25">
      <c r="A19" s="2" t="s">
        <v>81</v>
      </c>
      <c r="B19" t="s">
        <v>14</v>
      </c>
      <c r="C19" s="3">
        <v>128</v>
      </c>
      <c r="D19" t="s">
        <v>12</v>
      </c>
      <c r="E19" t="s">
        <v>101</v>
      </c>
      <c r="F19" s="5" t="s">
        <v>148</v>
      </c>
      <c r="I19" s="2" t="s">
        <v>95</v>
      </c>
      <c r="J19" t="s">
        <v>14</v>
      </c>
      <c r="K19" s="3">
        <v>16</v>
      </c>
      <c r="L19" t="s">
        <v>4</v>
      </c>
      <c r="M19" t="s">
        <v>100</v>
      </c>
      <c r="N19" s="5" t="s">
        <v>133</v>
      </c>
      <c r="Q19" t="s">
        <v>240</v>
      </c>
      <c r="R19" t="s">
        <v>14</v>
      </c>
      <c r="S19" s="3">
        <v>16</v>
      </c>
      <c r="T19" t="s">
        <v>4</v>
      </c>
      <c r="V19" s="5" t="s">
        <v>151</v>
      </c>
    </row>
    <row r="20" spans="1:22" ht="15.75" x14ac:dyDescent="0.25">
      <c r="A20" s="2" t="s">
        <v>21</v>
      </c>
      <c r="B20" t="s">
        <v>14</v>
      </c>
      <c r="C20" s="3">
        <v>1</v>
      </c>
      <c r="D20" t="s">
        <v>15</v>
      </c>
      <c r="E20" t="s">
        <v>100</v>
      </c>
      <c r="F20" s="5" t="s">
        <v>137</v>
      </c>
      <c r="I20" s="2" t="s">
        <v>194</v>
      </c>
      <c r="J20" t="s">
        <v>14</v>
      </c>
      <c r="K20" s="3">
        <v>16</v>
      </c>
      <c r="L20" t="s">
        <v>4</v>
      </c>
      <c r="M20" t="s">
        <v>100</v>
      </c>
      <c r="N20" s="5" t="s">
        <v>195</v>
      </c>
      <c r="Q20" t="s">
        <v>241</v>
      </c>
      <c r="R20" t="s">
        <v>14</v>
      </c>
      <c r="S20" s="3">
        <v>16</v>
      </c>
      <c r="T20" t="s">
        <v>4</v>
      </c>
      <c r="V20" s="5" t="s">
        <v>151</v>
      </c>
    </row>
    <row r="21" spans="1:22" ht="15.75" x14ac:dyDescent="0.25">
      <c r="A21" s="2" t="s">
        <v>82</v>
      </c>
      <c r="B21" t="s">
        <v>9</v>
      </c>
      <c r="C21" s="3">
        <v>4</v>
      </c>
      <c r="D21" t="s">
        <v>12</v>
      </c>
      <c r="E21" t="s">
        <v>101</v>
      </c>
      <c r="F21" s="5" t="s">
        <v>149</v>
      </c>
      <c r="I21" s="2" t="s">
        <v>174</v>
      </c>
      <c r="J21" t="s">
        <v>14</v>
      </c>
      <c r="K21" s="3">
        <v>16</v>
      </c>
      <c r="L21" t="s">
        <v>4</v>
      </c>
      <c r="M21" t="s">
        <v>101</v>
      </c>
      <c r="N21" s="5" t="s">
        <v>151</v>
      </c>
      <c r="Q21" t="s">
        <v>27</v>
      </c>
      <c r="R21" t="s">
        <v>11</v>
      </c>
      <c r="S21" s="3">
        <v>8</v>
      </c>
      <c r="T21" t="s">
        <v>12</v>
      </c>
      <c r="V21" s="5" t="s">
        <v>150</v>
      </c>
    </row>
    <row r="22" spans="1:22" ht="15.75" x14ac:dyDescent="0.25">
      <c r="A22" s="2" t="s">
        <v>95</v>
      </c>
      <c r="B22" t="s">
        <v>14</v>
      </c>
      <c r="C22" s="3">
        <v>128</v>
      </c>
      <c r="D22" t="s">
        <v>15</v>
      </c>
      <c r="E22" t="s">
        <v>100</v>
      </c>
      <c r="F22" s="5" t="s">
        <v>133</v>
      </c>
      <c r="I22" s="2" t="s">
        <v>196</v>
      </c>
      <c r="J22" t="s">
        <v>11</v>
      </c>
      <c r="K22" s="3">
        <v>8</v>
      </c>
      <c r="L22" t="s">
        <v>12</v>
      </c>
      <c r="M22" t="s">
        <v>100</v>
      </c>
      <c r="N22" s="5" t="s">
        <v>197</v>
      </c>
      <c r="Q22" t="s">
        <v>242</v>
      </c>
      <c r="R22" t="s">
        <v>11</v>
      </c>
      <c r="S22" s="3">
        <v>8</v>
      </c>
      <c r="T22" t="s">
        <v>12</v>
      </c>
      <c r="V22" s="5" t="s">
        <v>247</v>
      </c>
    </row>
    <row r="23" spans="1:22" ht="15.75" x14ac:dyDescent="0.25">
      <c r="A23" s="2" t="s">
        <v>96</v>
      </c>
      <c r="B23" t="s">
        <v>14</v>
      </c>
      <c r="C23" s="3">
        <v>128</v>
      </c>
      <c r="D23" t="s">
        <v>15</v>
      </c>
      <c r="E23" t="s">
        <v>100</v>
      </c>
      <c r="F23" s="5" t="s">
        <v>135</v>
      </c>
      <c r="I23" s="2" t="s">
        <v>132</v>
      </c>
      <c r="J23" t="s">
        <v>14</v>
      </c>
      <c r="K23" s="3">
        <v>128</v>
      </c>
      <c r="L23" t="s">
        <v>12</v>
      </c>
      <c r="M23" t="s">
        <v>105</v>
      </c>
      <c r="N23" s="5">
        <v>9</v>
      </c>
      <c r="Q23" t="s">
        <v>243</v>
      </c>
      <c r="R23" t="s">
        <v>14</v>
      </c>
      <c r="S23" s="3">
        <v>16</v>
      </c>
      <c r="T23" t="s">
        <v>4</v>
      </c>
      <c r="V23" s="5" t="s">
        <v>139</v>
      </c>
    </row>
    <row r="24" spans="1:22" ht="15.75" x14ac:dyDescent="0.25">
      <c r="A24" s="2" t="s">
        <v>97</v>
      </c>
      <c r="B24" t="s">
        <v>14</v>
      </c>
      <c r="C24" s="3">
        <v>128</v>
      </c>
      <c r="D24" t="s">
        <v>15</v>
      </c>
      <c r="E24" t="s">
        <v>100</v>
      </c>
      <c r="F24" s="5" t="s">
        <v>139</v>
      </c>
      <c r="I24" s="2" t="s">
        <v>175</v>
      </c>
      <c r="J24" t="s">
        <v>17</v>
      </c>
      <c r="K24" s="3">
        <v>1</v>
      </c>
      <c r="L24" t="s">
        <v>4</v>
      </c>
      <c r="M24" t="s">
        <v>101</v>
      </c>
      <c r="N24" s="5" t="s">
        <v>176</v>
      </c>
      <c r="Q24" t="s">
        <v>244</v>
      </c>
      <c r="R24" t="s">
        <v>11</v>
      </c>
      <c r="S24" s="3">
        <v>8</v>
      </c>
      <c r="T24" t="s">
        <v>12</v>
      </c>
      <c r="V24" s="5" t="s">
        <v>165</v>
      </c>
    </row>
    <row r="25" spans="1:22" ht="15.75" x14ac:dyDescent="0.25">
      <c r="A25" s="2" t="s">
        <v>98</v>
      </c>
      <c r="B25" t="s">
        <v>14</v>
      </c>
      <c r="C25" s="3">
        <v>128</v>
      </c>
      <c r="D25" t="s">
        <v>15</v>
      </c>
      <c r="E25" t="s">
        <v>100</v>
      </c>
      <c r="F25" s="5" t="s">
        <v>137</v>
      </c>
      <c r="I25" s="2" t="s">
        <v>177</v>
      </c>
      <c r="J25" t="s">
        <v>14</v>
      </c>
      <c r="K25" s="3">
        <v>16</v>
      </c>
      <c r="L25" t="s">
        <v>4</v>
      </c>
      <c r="M25" t="s">
        <v>101</v>
      </c>
      <c r="N25" s="5" t="s">
        <v>147</v>
      </c>
      <c r="Q25" t="s">
        <v>116</v>
      </c>
      <c r="R25" t="s">
        <v>11</v>
      </c>
      <c r="S25" s="3">
        <v>8</v>
      </c>
      <c r="T25" t="s">
        <v>12</v>
      </c>
      <c r="V25" s="5" t="s">
        <v>165</v>
      </c>
    </row>
    <row r="26" spans="1:22" ht="15.75" x14ac:dyDescent="0.25">
      <c r="A26" s="2" t="s">
        <v>23</v>
      </c>
      <c r="B26" t="s">
        <v>9</v>
      </c>
      <c r="C26" s="3">
        <v>4</v>
      </c>
      <c r="D26" t="s">
        <v>12</v>
      </c>
      <c r="E26" t="s">
        <v>100</v>
      </c>
      <c r="F26" s="5" t="s">
        <v>159</v>
      </c>
      <c r="I26" s="2" t="s">
        <v>63</v>
      </c>
      <c r="J26" t="s">
        <v>14</v>
      </c>
      <c r="K26" s="3">
        <v>16</v>
      </c>
      <c r="L26" t="s">
        <v>4</v>
      </c>
      <c r="M26" t="s">
        <v>100</v>
      </c>
      <c r="N26" s="5" t="s">
        <v>186</v>
      </c>
      <c r="Q26" t="s">
        <v>245</v>
      </c>
      <c r="R26" t="s">
        <v>14</v>
      </c>
      <c r="S26" s="3">
        <v>128</v>
      </c>
      <c r="T26" t="s">
        <v>12</v>
      </c>
      <c r="V26" s="5" t="s">
        <v>249</v>
      </c>
    </row>
    <row r="27" spans="1:22" ht="15.75" x14ac:dyDescent="0.25">
      <c r="A27" s="2" t="s">
        <v>25</v>
      </c>
      <c r="B27" t="s">
        <v>9</v>
      </c>
      <c r="C27" s="3">
        <v>4</v>
      </c>
      <c r="D27" t="s">
        <v>12</v>
      </c>
      <c r="E27" t="s">
        <v>100</v>
      </c>
      <c r="F27" s="5" t="s">
        <v>159</v>
      </c>
      <c r="I27" s="2" t="s">
        <v>26</v>
      </c>
      <c r="J27" t="s">
        <v>14</v>
      </c>
      <c r="K27" s="3">
        <v>128</v>
      </c>
      <c r="L27" t="s">
        <v>12</v>
      </c>
      <c r="M27" t="s">
        <v>101</v>
      </c>
      <c r="N27" s="5" t="s">
        <v>149</v>
      </c>
      <c r="Q27" t="s">
        <v>246</v>
      </c>
      <c r="R27" t="s">
        <v>11</v>
      </c>
      <c r="S27" s="3">
        <v>8</v>
      </c>
      <c r="T27" t="s">
        <v>12</v>
      </c>
      <c r="V27" s="5" t="s">
        <v>248</v>
      </c>
    </row>
    <row r="28" spans="1:22" ht="15.75" x14ac:dyDescent="0.25">
      <c r="A28" s="2" t="s">
        <v>26</v>
      </c>
      <c r="B28" t="s">
        <v>14</v>
      </c>
      <c r="C28" s="3">
        <v>128</v>
      </c>
      <c r="D28" t="s">
        <v>12</v>
      </c>
      <c r="E28" t="s">
        <v>101</v>
      </c>
      <c r="F28" s="5" t="s">
        <v>149</v>
      </c>
      <c r="I28" s="2" t="s">
        <v>198</v>
      </c>
      <c r="J28" t="s">
        <v>11</v>
      </c>
      <c r="K28" s="3">
        <v>8</v>
      </c>
      <c r="L28" t="s">
        <v>12</v>
      </c>
      <c r="M28" t="s">
        <v>100</v>
      </c>
      <c r="N28" s="5" t="s">
        <v>133</v>
      </c>
    </row>
    <row r="29" spans="1:22" ht="15.75" x14ac:dyDescent="0.25">
      <c r="A29" s="2" t="s">
        <v>99</v>
      </c>
      <c r="B29" t="s">
        <v>14</v>
      </c>
      <c r="C29" s="3">
        <v>128</v>
      </c>
      <c r="D29" t="s">
        <v>15</v>
      </c>
      <c r="E29" t="s">
        <v>100</v>
      </c>
      <c r="F29" s="5" t="s">
        <v>137</v>
      </c>
      <c r="I29" s="2" t="s">
        <v>178</v>
      </c>
      <c r="J29" t="s">
        <v>11</v>
      </c>
      <c r="K29" s="3">
        <v>8</v>
      </c>
      <c r="L29" t="s">
        <v>12</v>
      </c>
      <c r="M29" t="s">
        <v>101</v>
      </c>
      <c r="N29" s="5" t="s">
        <v>151</v>
      </c>
    </row>
    <row r="30" spans="1:22" ht="15.75" x14ac:dyDescent="0.25">
      <c r="A30" s="2" t="s">
        <v>83</v>
      </c>
      <c r="B30" t="s">
        <v>9</v>
      </c>
      <c r="C30" s="3">
        <v>4</v>
      </c>
      <c r="D30" t="s">
        <v>12</v>
      </c>
      <c r="E30" t="s">
        <v>101</v>
      </c>
      <c r="F30" s="5" t="s">
        <v>147</v>
      </c>
      <c r="I30" s="2" t="s">
        <v>84</v>
      </c>
      <c r="J30" t="s">
        <v>14</v>
      </c>
      <c r="K30" s="3">
        <v>16</v>
      </c>
      <c r="L30" t="s">
        <v>4</v>
      </c>
      <c r="M30" t="s">
        <v>101</v>
      </c>
      <c r="N30" s="5" t="s">
        <v>151</v>
      </c>
    </row>
    <row r="31" spans="1:22" ht="15.75" x14ac:dyDescent="0.25">
      <c r="A31" s="2" t="s">
        <v>27</v>
      </c>
      <c r="B31" t="s">
        <v>11</v>
      </c>
      <c r="C31" s="3">
        <v>8</v>
      </c>
      <c r="D31" t="s">
        <v>12</v>
      </c>
      <c r="E31" t="s">
        <v>101</v>
      </c>
      <c r="F31" s="5" t="s">
        <v>150</v>
      </c>
      <c r="I31" s="2" t="s">
        <v>179</v>
      </c>
      <c r="J31" t="s">
        <v>11</v>
      </c>
      <c r="K31" s="3">
        <v>8</v>
      </c>
      <c r="L31" t="s">
        <v>12</v>
      </c>
      <c r="M31" t="s">
        <v>101</v>
      </c>
      <c r="N31" s="5" t="s">
        <v>150</v>
      </c>
    </row>
    <row r="32" spans="1:22" ht="15.75" x14ac:dyDescent="0.25">
      <c r="A32" s="2" t="s">
        <v>84</v>
      </c>
      <c r="B32" t="s">
        <v>14</v>
      </c>
      <c r="C32" s="3">
        <v>128</v>
      </c>
      <c r="D32" t="s">
        <v>12</v>
      </c>
      <c r="E32" t="s">
        <v>101</v>
      </c>
      <c r="F32" s="5" t="s">
        <v>151</v>
      </c>
      <c r="I32" s="2" t="s">
        <v>180</v>
      </c>
      <c r="J32" t="s">
        <v>14</v>
      </c>
      <c r="K32" s="3">
        <v>128</v>
      </c>
      <c r="L32" t="s">
        <v>12</v>
      </c>
      <c r="M32" t="s">
        <v>101</v>
      </c>
      <c r="N32" s="5" t="s">
        <v>152</v>
      </c>
    </row>
    <row r="33" spans="1:14" ht="15.75" x14ac:dyDescent="0.25">
      <c r="A33" s="2" t="s">
        <v>102</v>
      </c>
      <c r="B33" t="s">
        <v>9</v>
      </c>
      <c r="C33" s="3">
        <v>4</v>
      </c>
      <c r="D33" t="s">
        <v>12</v>
      </c>
      <c r="E33" t="s">
        <v>100</v>
      </c>
      <c r="F33" s="5" t="s">
        <v>160</v>
      </c>
      <c r="I33" s="2" t="s">
        <v>199</v>
      </c>
      <c r="J33" t="s">
        <v>14</v>
      </c>
      <c r="K33" s="3">
        <v>128</v>
      </c>
      <c r="L33" t="s">
        <v>12</v>
      </c>
      <c r="M33" t="s">
        <v>100</v>
      </c>
      <c r="N33" s="5" t="s">
        <v>200</v>
      </c>
    </row>
    <row r="34" spans="1:14" ht="15.75" x14ac:dyDescent="0.25">
      <c r="A34" s="2" t="s">
        <v>85</v>
      </c>
      <c r="B34" t="s">
        <v>14</v>
      </c>
      <c r="C34" s="3">
        <v>1</v>
      </c>
      <c r="D34" t="s">
        <v>15</v>
      </c>
      <c r="E34" t="s">
        <v>101</v>
      </c>
      <c r="F34" s="5" t="s">
        <v>151</v>
      </c>
      <c r="I34" s="2" t="s">
        <v>201</v>
      </c>
      <c r="J34" t="s">
        <v>14</v>
      </c>
      <c r="K34" s="3">
        <v>16</v>
      </c>
      <c r="L34" t="s">
        <v>4</v>
      </c>
      <c r="M34" t="s">
        <v>100</v>
      </c>
      <c r="N34" s="5" t="s">
        <v>186</v>
      </c>
    </row>
    <row r="35" spans="1:14" ht="15.75" x14ac:dyDescent="0.25">
      <c r="A35" s="2" t="s">
        <v>28</v>
      </c>
      <c r="B35" t="s">
        <v>14</v>
      </c>
      <c r="C35" s="3">
        <v>128</v>
      </c>
      <c r="D35" t="s">
        <v>12</v>
      </c>
      <c r="E35" t="s">
        <v>101</v>
      </c>
      <c r="F35" s="5" t="s">
        <v>152</v>
      </c>
      <c r="I35" s="2" t="s">
        <v>202</v>
      </c>
      <c r="J35" t="s">
        <v>14</v>
      </c>
      <c r="K35" s="3">
        <v>16</v>
      </c>
      <c r="L35" t="s">
        <v>4</v>
      </c>
      <c r="M35" t="s">
        <v>100</v>
      </c>
      <c r="N35" s="5" t="s">
        <v>143</v>
      </c>
    </row>
    <row r="36" spans="1:14" ht="15.75" x14ac:dyDescent="0.25">
      <c r="A36" s="2" t="s">
        <v>103</v>
      </c>
      <c r="B36" t="s">
        <v>9</v>
      </c>
      <c r="C36" s="3">
        <v>4</v>
      </c>
      <c r="D36" t="s">
        <v>12</v>
      </c>
      <c r="E36" t="s">
        <v>100</v>
      </c>
      <c r="F36" s="5" t="s">
        <v>161</v>
      </c>
      <c r="I36" s="2" t="s">
        <v>181</v>
      </c>
      <c r="J36" t="s">
        <v>11</v>
      </c>
      <c r="K36" s="3">
        <v>8</v>
      </c>
      <c r="L36" t="s">
        <v>12</v>
      </c>
      <c r="M36" t="s">
        <v>101</v>
      </c>
      <c r="N36" s="5" t="s">
        <v>150</v>
      </c>
    </row>
    <row r="37" spans="1:14" ht="15.75" x14ac:dyDescent="0.25">
      <c r="A37" s="2" t="s">
        <v>86</v>
      </c>
      <c r="B37" t="s">
        <v>14</v>
      </c>
      <c r="C37" s="3">
        <v>128</v>
      </c>
      <c r="D37" t="s">
        <v>12</v>
      </c>
      <c r="E37" t="s">
        <v>101</v>
      </c>
      <c r="F37" s="5" t="s">
        <v>152</v>
      </c>
      <c r="I37" s="2" t="s">
        <v>203</v>
      </c>
      <c r="J37" t="s">
        <v>14</v>
      </c>
      <c r="K37" s="3">
        <v>16</v>
      </c>
      <c r="L37" t="s">
        <v>4</v>
      </c>
      <c r="M37" t="s">
        <v>100</v>
      </c>
      <c r="N37" s="5" t="s">
        <v>204</v>
      </c>
    </row>
    <row r="38" spans="1:14" ht="15.75" x14ac:dyDescent="0.25">
      <c r="A38" s="2" t="s">
        <v>29</v>
      </c>
      <c r="B38" t="s">
        <v>14</v>
      </c>
      <c r="C38" s="3">
        <v>128</v>
      </c>
      <c r="D38" t="s">
        <v>12</v>
      </c>
      <c r="E38" t="s">
        <v>100</v>
      </c>
      <c r="F38" s="5" t="s">
        <v>133</v>
      </c>
      <c r="I38" s="2" t="s">
        <v>205</v>
      </c>
      <c r="J38" t="s">
        <v>14</v>
      </c>
      <c r="K38" s="3">
        <v>16</v>
      </c>
      <c r="L38" t="s">
        <v>4</v>
      </c>
      <c r="M38" t="s">
        <v>100</v>
      </c>
      <c r="N38" s="5" t="s">
        <v>186</v>
      </c>
    </row>
    <row r="39" spans="1:14" ht="15.75" x14ac:dyDescent="0.25">
      <c r="A39" s="2" t="s">
        <v>30</v>
      </c>
      <c r="B39" t="s">
        <v>11</v>
      </c>
      <c r="C39" s="3">
        <v>8</v>
      </c>
      <c r="D39" t="s">
        <v>12</v>
      </c>
      <c r="E39" t="s">
        <v>101</v>
      </c>
      <c r="F39" s="5" t="s">
        <v>153</v>
      </c>
      <c r="I39" s="2" t="s">
        <v>182</v>
      </c>
      <c r="J39" t="s">
        <v>14</v>
      </c>
      <c r="K39" s="3">
        <v>128</v>
      </c>
      <c r="L39" t="s">
        <v>12</v>
      </c>
      <c r="M39" t="s">
        <v>101</v>
      </c>
      <c r="N39" s="5" t="s">
        <v>152</v>
      </c>
    </row>
    <row r="40" spans="1:14" ht="15.75" x14ac:dyDescent="0.25">
      <c r="A40" s="2" t="s">
        <v>104</v>
      </c>
      <c r="B40" t="s">
        <v>9</v>
      </c>
      <c r="C40" s="3">
        <v>4</v>
      </c>
      <c r="D40" t="s">
        <v>12</v>
      </c>
      <c r="E40" t="s">
        <v>100</v>
      </c>
      <c r="F40" s="5" t="s">
        <v>162</v>
      </c>
      <c r="I40" s="2" t="s">
        <v>29</v>
      </c>
      <c r="J40" t="s">
        <v>14</v>
      </c>
      <c r="K40" s="3">
        <v>128</v>
      </c>
      <c r="L40" t="s">
        <v>12</v>
      </c>
      <c r="M40" t="s">
        <v>100</v>
      </c>
      <c r="N40" s="5" t="s">
        <v>133</v>
      </c>
    </row>
    <row r="41" spans="1:14" ht="15.75" x14ac:dyDescent="0.25">
      <c r="A41" s="2" t="s">
        <v>31</v>
      </c>
      <c r="B41" t="s">
        <v>14</v>
      </c>
      <c r="C41" s="3">
        <v>1</v>
      </c>
      <c r="D41" t="s">
        <v>12</v>
      </c>
      <c r="E41" t="s">
        <v>101</v>
      </c>
      <c r="F41" s="5" t="s">
        <v>149</v>
      </c>
      <c r="I41" s="2" t="s">
        <v>30</v>
      </c>
      <c r="J41" t="s">
        <v>11</v>
      </c>
      <c r="K41" s="3">
        <v>8</v>
      </c>
      <c r="L41" t="s">
        <v>12</v>
      </c>
      <c r="M41" t="s">
        <v>101</v>
      </c>
      <c r="N41" s="5" t="s">
        <v>153</v>
      </c>
    </row>
    <row r="42" spans="1:14" ht="15.75" x14ac:dyDescent="0.25">
      <c r="A42" s="2"/>
      <c r="C42" s="3"/>
      <c r="I42" s="2" t="s">
        <v>206</v>
      </c>
      <c r="J42" t="s">
        <v>14</v>
      </c>
      <c r="K42" s="3">
        <v>128</v>
      </c>
      <c r="L42" t="s">
        <v>12</v>
      </c>
      <c r="M42" t="s">
        <v>100</v>
      </c>
      <c r="N42" s="5" t="s">
        <v>133</v>
      </c>
    </row>
    <row r="43" spans="1:14" ht="15.75" x14ac:dyDescent="0.25">
      <c r="A43" t="s">
        <v>2</v>
      </c>
      <c r="C43">
        <v>1</v>
      </c>
      <c r="D43" t="s">
        <v>2</v>
      </c>
      <c r="E43" t="s">
        <v>105</v>
      </c>
      <c r="I43" s="2" t="s">
        <v>225</v>
      </c>
      <c r="J43" t="s">
        <v>14</v>
      </c>
      <c r="K43">
        <v>128</v>
      </c>
      <c r="L43" t="s">
        <v>12</v>
      </c>
      <c r="M43" t="s">
        <v>101</v>
      </c>
      <c r="N43" s="5" t="s">
        <v>165</v>
      </c>
    </row>
    <row r="44" spans="1:14" ht="15.75" x14ac:dyDescent="0.25">
      <c r="A44" s="2" t="s">
        <v>10</v>
      </c>
      <c r="B44" t="s">
        <v>11</v>
      </c>
      <c r="C44" s="3">
        <v>8</v>
      </c>
      <c r="D44" t="s">
        <v>12</v>
      </c>
      <c r="E44" t="s">
        <v>105</v>
      </c>
      <c r="F44" s="5">
        <v>4</v>
      </c>
      <c r="I44" s="2" t="s">
        <v>31</v>
      </c>
      <c r="J44" t="s">
        <v>14</v>
      </c>
      <c r="K44" s="3">
        <v>1</v>
      </c>
      <c r="L44" t="s">
        <v>12</v>
      </c>
      <c r="M44" t="s">
        <v>101</v>
      </c>
      <c r="N44" s="5" t="s">
        <v>149</v>
      </c>
    </row>
    <row r="45" spans="1:14" ht="15.75" x14ac:dyDescent="0.25">
      <c r="A45" s="2" t="s">
        <v>106</v>
      </c>
      <c r="B45" t="s">
        <v>14</v>
      </c>
      <c r="C45" s="3">
        <v>1</v>
      </c>
      <c r="D45" t="s">
        <v>15</v>
      </c>
      <c r="E45" t="s">
        <v>105</v>
      </c>
      <c r="F45" s="5">
        <v>2</v>
      </c>
      <c r="I45" s="2" t="s">
        <v>207</v>
      </c>
      <c r="J45" t="s">
        <v>14</v>
      </c>
      <c r="K45" s="3">
        <v>128</v>
      </c>
      <c r="L45" t="s">
        <v>12</v>
      </c>
      <c r="M45" t="s">
        <v>100</v>
      </c>
      <c r="N45" s="5" t="s">
        <v>195</v>
      </c>
    </row>
    <row r="46" spans="1:14" ht="15.75" x14ac:dyDescent="0.25">
      <c r="A46" s="2" t="s">
        <v>107</v>
      </c>
      <c r="B46" t="s">
        <v>14</v>
      </c>
      <c r="C46" s="3">
        <v>1</v>
      </c>
      <c r="D46" t="s">
        <v>15</v>
      </c>
      <c r="E46" t="s">
        <v>105</v>
      </c>
      <c r="F46" s="5">
        <v>14</v>
      </c>
    </row>
    <row r="47" spans="1:14" ht="15.75" x14ac:dyDescent="0.25">
      <c r="A47" s="2" t="s">
        <v>90</v>
      </c>
      <c r="B47" t="s">
        <v>11</v>
      </c>
      <c r="C47" s="3">
        <v>8</v>
      </c>
      <c r="D47" t="s">
        <v>12</v>
      </c>
      <c r="E47" t="s">
        <v>131</v>
      </c>
      <c r="F47" s="5" t="s">
        <v>134</v>
      </c>
      <c r="I47" t="s">
        <v>2</v>
      </c>
      <c r="K47">
        <v>1</v>
      </c>
      <c r="L47" t="s">
        <v>2</v>
      </c>
      <c r="M47" t="s">
        <v>105</v>
      </c>
      <c r="N47" s="5"/>
    </row>
    <row r="48" spans="1:14" ht="15.75" x14ac:dyDescent="0.25">
      <c r="A48" s="2" t="s">
        <v>89</v>
      </c>
      <c r="B48" t="s">
        <v>14</v>
      </c>
      <c r="C48" s="3">
        <v>128</v>
      </c>
      <c r="D48" t="s">
        <v>12</v>
      </c>
      <c r="E48" t="s">
        <v>131</v>
      </c>
      <c r="F48" s="5" t="s">
        <v>156</v>
      </c>
      <c r="I48" s="2" t="s">
        <v>89</v>
      </c>
      <c r="J48" t="s">
        <v>14</v>
      </c>
      <c r="K48">
        <v>128</v>
      </c>
      <c r="L48" t="s">
        <v>12</v>
      </c>
      <c r="M48" t="s">
        <v>105</v>
      </c>
      <c r="N48" s="5" t="s">
        <v>133</v>
      </c>
    </row>
    <row r="49" spans="1:14" ht="15.75" x14ac:dyDescent="0.25">
      <c r="A49" s="2" t="s">
        <v>16</v>
      </c>
      <c r="B49" t="s">
        <v>14</v>
      </c>
      <c r="C49" s="3">
        <v>128</v>
      </c>
      <c r="D49" t="s">
        <v>15</v>
      </c>
      <c r="E49" t="s">
        <v>131</v>
      </c>
      <c r="F49" s="5" t="s">
        <v>135</v>
      </c>
      <c r="I49" s="2" t="s">
        <v>208</v>
      </c>
      <c r="J49" t="s">
        <v>14</v>
      </c>
      <c r="K49">
        <v>128</v>
      </c>
      <c r="L49" t="s">
        <v>12</v>
      </c>
      <c r="M49" t="s">
        <v>105</v>
      </c>
      <c r="N49" s="5">
        <v>1</v>
      </c>
    </row>
    <row r="50" spans="1:14" ht="15.75" x14ac:dyDescent="0.25">
      <c r="A50" s="2" t="s">
        <v>13</v>
      </c>
      <c r="B50" t="s">
        <v>14</v>
      </c>
      <c r="C50" s="3">
        <v>128</v>
      </c>
      <c r="D50" t="s">
        <v>15</v>
      </c>
      <c r="E50" t="s">
        <v>105</v>
      </c>
      <c r="F50" s="5">
        <v>27</v>
      </c>
      <c r="I50" s="2" t="s">
        <v>109</v>
      </c>
      <c r="J50" t="s">
        <v>11</v>
      </c>
      <c r="K50">
        <v>8</v>
      </c>
      <c r="L50" t="s">
        <v>12</v>
      </c>
      <c r="M50" t="s">
        <v>105</v>
      </c>
      <c r="N50" s="5">
        <v>6</v>
      </c>
    </row>
    <row r="51" spans="1:14" ht="15.75" x14ac:dyDescent="0.25">
      <c r="A51" s="2" t="s">
        <v>78</v>
      </c>
      <c r="B51" t="s">
        <v>17</v>
      </c>
      <c r="C51" s="3">
        <v>1</v>
      </c>
      <c r="D51" t="s">
        <v>4</v>
      </c>
      <c r="E51" t="s">
        <v>105</v>
      </c>
      <c r="F51" s="5">
        <v>5</v>
      </c>
      <c r="I51" s="2" t="s">
        <v>18</v>
      </c>
      <c r="J51" t="s">
        <v>14</v>
      </c>
      <c r="K51">
        <v>16</v>
      </c>
      <c r="L51" t="s">
        <v>4</v>
      </c>
      <c r="M51" t="s">
        <v>105</v>
      </c>
      <c r="N51" s="5">
        <v>14</v>
      </c>
    </row>
    <row r="52" spans="1:14" ht="15.75" x14ac:dyDescent="0.25">
      <c r="A52" s="2" t="s">
        <v>77</v>
      </c>
      <c r="B52" t="s">
        <v>9</v>
      </c>
      <c r="C52" s="3">
        <v>4</v>
      </c>
      <c r="D52" t="s">
        <v>12</v>
      </c>
      <c r="E52" t="s">
        <v>105</v>
      </c>
      <c r="F52" s="5">
        <v>5</v>
      </c>
      <c r="I52" s="2" t="s">
        <v>223</v>
      </c>
      <c r="J52" t="s">
        <v>9</v>
      </c>
      <c r="K52">
        <v>4</v>
      </c>
      <c r="L52" t="s">
        <v>12</v>
      </c>
      <c r="M52" t="s">
        <v>105</v>
      </c>
      <c r="N52" s="5" t="s">
        <v>227</v>
      </c>
    </row>
    <row r="53" spans="1:14" ht="15.75" x14ac:dyDescent="0.25">
      <c r="A53" s="2" t="s">
        <v>108</v>
      </c>
      <c r="B53" t="s">
        <v>11</v>
      </c>
      <c r="C53" s="3">
        <v>8</v>
      </c>
      <c r="D53" t="s">
        <v>12</v>
      </c>
      <c r="E53" t="s">
        <v>105</v>
      </c>
      <c r="F53" s="5">
        <v>4</v>
      </c>
      <c r="I53" s="2" t="s">
        <v>209</v>
      </c>
      <c r="J53" t="s">
        <v>14</v>
      </c>
      <c r="K53">
        <v>16</v>
      </c>
      <c r="L53" t="s">
        <v>4</v>
      </c>
      <c r="M53" t="s">
        <v>105</v>
      </c>
      <c r="N53" s="5">
        <v>2</v>
      </c>
    </row>
    <row r="54" spans="1:14" ht="15.75" x14ac:dyDescent="0.25">
      <c r="A54" s="2" t="s">
        <v>109</v>
      </c>
      <c r="B54" t="s">
        <v>11</v>
      </c>
      <c r="C54" s="3">
        <v>8</v>
      </c>
      <c r="D54" t="s">
        <v>12</v>
      </c>
      <c r="E54" t="s">
        <v>105</v>
      </c>
      <c r="F54" s="5">
        <v>6</v>
      </c>
      <c r="I54" s="2" t="s">
        <v>210</v>
      </c>
      <c r="J54" t="s">
        <v>14</v>
      </c>
      <c r="K54">
        <v>128</v>
      </c>
      <c r="L54" t="s">
        <v>12</v>
      </c>
      <c r="M54" t="s">
        <v>105</v>
      </c>
      <c r="N54" s="5">
        <v>14</v>
      </c>
    </row>
    <row r="55" spans="1:14" ht="15.75" x14ac:dyDescent="0.25">
      <c r="A55" s="2" t="s">
        <v>110</v>
      </c>
      <c r="B55" t="s">
        <v>14</v>
      </c>
      <c r="C55" s="3">
        <v>1</v>
      </c>
      <c r="D55" t="s">
        <v>15</v>
      </c>
      <c r="E55" t="s">
        <v>105</v>
      </c>
      <c r="F55" s="5">
        <v>2</v>
      </c>
      <c r="I55" s="2" t="s">
        <v>224</v>
      </c>
      <c r="J55" t="s">
        <v>14</v>
      </c>
      <c r="K55">
        <v>128</v>
      </c>
      <c r="L55" t="s">
        <v>12</v>
      </c>
      <c r="M55" t="s">
        <v>105</v>
      </c>
      <c r="N55" s="5" t="s">
        <v>165</v>
      </c>
    </row>
    <row r="56" spans="1:14" ht="15.75" x14ac:dyDescent="0.25">
      <c r="A56" s="2" t="s">
        <v>111</v>
      </c>
      <c r="B56" t="s">
        <v>11</v>
      </c>
      <c r="C56" s="3">
        <v>8</v>
      </c>
      <c r="D56" t="s">
        <v>12</v>
      </c>
      <c r="E56" t="s">
        <v>105</v>
      </c>
      <c r="F56" s="5">
        <v>6</v>
      </c>
      <c r="I56" s="2" t="s">
        <v>174</v>
      </c>
      <c r="J56" t="s">
        <v>14</v>
      </c>
      <c r="K56" s="3">
        <v>16</v>
      </c>
      <c r="L56" t="s">
        <v>4</v>
      </c>
      <c r="M56" t="s">
        <v>105</v>
      </c>
      <c r="N56" s="5">
        <v>2</v>
      </c>
    </row>
    <row r="57" spans="1:14" ht="15.75" x14ac:dyDescent="0.25">
      <c r="A57" s="2" t="s">
        <v>18</v>
      </c>
      <c r="B57" t="s">
        <v>14</v>
      </c>
      <c r="C57" s="3">
        <v>128</v>
      </c>
      <c r="D57" t="s">
        <v>19</v>
      </c>
      <c r="E57" t="s">
        <v>105</v>
      </c>
      <c r="F57" s="5">
        <v>14</v>
      </c>
      <c r="I57" s="2" t="s">
        <v>211</v>
      </c>
      <c r="J57" t="s">
        <v>11</v>
      </c>
      <c r="K57">
        <v>8</v>
      </c>
      <c r="L57" t="s">
        <v>12</v>
      </c>
      <c r="M57" t="s">
        <v>105</v>
      </c>
      <c r="N57" s="5">
        <v>14</v>
      </c>
    </row>
    <row r="58" spans="1:14" ht="15.75" x14ac:dyDescent="0.25">
      <c r="A58" s="2" t="s">
        <v>81</v>
      </c>
      <c r="B58" t="s">
        <v>14</v>
      </c>
      <c r="C58" s="3">
        <v>128</v>
      </c>
      <c r="D58" t="s">
        <v>12</v>
      </c>
      <c r="E58" t="s">
        <v>105</v>
      </c>
      <c r="F58" s="5">
        <v>27</v>
      </c>
      <c r="I58" s="2" t="s">
        <v>196</v>
      </c>
      <c r="J58" t="s">
        <v>11</v>
      </c>
      <c r="K58">
        <v>8</v>
      </c>
      <c r="L58" t="s">
        <v>12</v>
      </c>
      <c r="M58" t="s">
        <v>105</v>
      </c>
      <c r="N58" s="5" t="s">
        <v>197</v>
      </c>
    </row>
    <row r="59" spans="1:14" ht="15.75" x14ac:dyDescent="0.25">
      <c r="A59" s="2" t="s">
        <v>126</v>
      </c>
      <c r="B59" t="s">
        <v>11</v>
      </c>
      <c r="C59" s="3">
        <v>8</v>
      </c>
      <c r="D59" t="s">
        <v>12</v>
      </c>
      <c r="E59" t="s">
        <v>131</v>
      </c>
      <c r="F59" s="5" t="s">
        <v>140</v>
      </c>
      <c r="I59" s="2" t="s">
        <v>212</v>
      </c>
      <c r="J59" t="s">
        <v>14</v>
      </c>
      <c r="K59">
        <v>128</v>
      </c>
      <c r="L59" t="s">
        <v>12</v>
      </c>
      <c r="M59" t="s">
        <v>105</v>
      </c>
      <c r="N59" s="5">
        <v>1</v>
      </c>
    </row>
    <row r="60" spans="1:14" ht="15.75" x14ac:dyDescent="0.25">
      <c r="A60" s="2" t="s">
        <v>117</v>
      </c>
      <c r="B60" t="s">
        <v>14</v>
      </c>
      <c r="C60" s="3">
        <v>128</v>
      </c>
      <c r="D60" t="s">
        <v>12</v>
      </c>
      <c r="E60" t="s">
        <v>131</v>
      </c>
      <c r="F60" s="5" t="s">
        <v>136</v>
      </c>
      <c r="I60" s="2" t="s">
        <v>213</v>
      </c>
      <c r="J60" t="s">
        <v>11</v>
      </c>
      <c r="K60">
        <v>8</v>
      </c>
      <c r="L60" t="s">
        <v>12</v>
      </c>
      <c r="M60" t="s">
        <v>105</v>
      </c>
      <c r="N60" s="5">
        <v>1</v>
      </c>
    </row>
    <row r="61" spans="1:14" ht="15.75" x14ac:dyDescent="0.25">
      <c r="A61" s="2" t="s">
        <v>20</v>
      </c>
      <c r="B61" t="s">
        <v>14</v>
      </c>
      <c r="C61" s="3">
        <v>1</v>
      </c>
      <c r="D61" t="s">
        <v>15</v>
      </c>
      <c r="E61" t="s">
        <v>131</v>
      </c>
      <c r="F61" s="5" t="s">
        <v>137</v>
      </c>
      <c r="I61" s="2" t="s">
        <v>132</v>
      </c>
      <c r="J61" t="s">
        <v>14</v>
      </c>
      <c r="K61" s="3">
        <v>128</v>
      </c>
      <c r="L61" t="s">
        <v>12</v>
      </c>
      <c r="M61" t="s">
        <v>105</v>
      </c>
      <c r="N61" s="5">
        <v>9</v>
      </c>
    </row>
    <row r="62" spans="1:14" ht="15.75" x14ac:dyDescent="0.25">
      <c r="A62" s="2" t="s">
        <v>112</v>
      </c>
      <c r="B62" t="s">
        <v>14</v>
      </c>
      <c r="C62" s="3">
        <v>128</v>
      </c>
      <c r="D62" t="s">
        <v>12</v>
      </c>
      <c r="E62" t="s">
        <v>105</v>
      </c>
      <c r="F62" s="5">
        <v>4</v>
      </c>
      <c r="I62" s="2" t="s">
        <v>214</v>
      </c>
      <c r="J62" t="s">
        <v>14</v>
      </c>
      <c r="K62" s="3">
        <v>16</v>
      </c>
      <c r="L62" t="s">
        <v>4</v>
      </c>
      <c r="M62" t="s">
        <v>105</v>
      </c>
      <c r="N62" s="5">
        <v>2</v>
      </c>
    </row>
    <row r="63" spans="1:14" ht="15.75" x14ac:dyDescent="0.25">
      <c r="A63" s="2" t="s">
        <v>118</v>
      </c>
      <c r="B63" t="s">
        <v>14</v>
      </c>
      <c r="C63" s="3">
        <v>128</v>
      </c>
      <c r="D63" t="s">
        <v>12</v>
      </c>
      <c r="E63" t="s">
        <v>131</v>
      </c>
      <c r="F63" s="5" t="s">
        <v>138</v>
      </c>
      <c r="I63" s="2" t="s">
        <v>222</v>
      </c>
      <c r="J63" t="s">
        <v>14</v>
      </c>
      <c r="K63">
        <v>128</v>
      </c>
      <c r="L63" t="s">
        <v>12</v>
      </c>
      <c r="M63" t="s">
        <v>105</v>
      </c>
      <c r="N63" s="5" t="s">
        <v>226</v>
      </c>
    </row>
    <row r="64" spans="1:14" ht="15.75" x14ac:dyDescent="0.25">
      <c r="A64" s="2" t="s">
        <v>164</v>
      </c>
      <c r="B64" t="s">
        <v>11</v>
      </c>
      <c r="C64" s="3">
        <v>8</v>
      </c>
      <c r="D64" t="s">
        <v>12</v>
      </c>
      <c r="E64" t="s">
        <v>131</v>
      </c>
      <c r="F64" s="5" t="s">
        <v>166</v>
      </c>
      <c r="I64" s="2" t="s">
        <v>215</v>
      </c>
      <c r="J64" t="s">
        <v>14</v>
      </c>
      <c r="K64">
        <v>128</v>
      </c>
      <c r="L64" t="s">
        <v>12</v>
      </c>
      <c r="M64" t="s">
        <v>105</v>
      </c>
      <c r="N64" s="5" t="s">
        <v>200</v>
      </c>
    </row>
    <row r="65" spans="1:14" ht="15.75" x14ac:dyDescent="0.25">
      <c r="A65" s="2" t="s">
        <v>163</v>
      </c>
      <c r="B65" t="s">
        <v>11</v>
      </c>
      <c r="C65" s="3">
        <v>8</v>
      </c>
      <c r="D65" t="s">
        <v>12</v>
      </c>
      <c r="E65" t="s">
        <v>105</v>
      </c>
      <c r="F65" s="5" t="s">
        <v>165</v>
      </c>
      <c r="I65" s="2" t="s">
        <v>216</v>
      </c>
      <c r="J65" t="s">
        <v>14</v>
      </c>
      <c r="K65">
        <v>128</v>
      </c>
      <c r="L65" t="s">
        <v>12</v>
      </c>
      <c r="M65" t="s">
        <v>105</v>
      </c>
      <c r="N65" s="5">
        <v>14</v>
      </c>
    </row>
    <row r="66" spans="1:14" ht="15.75" x14ac:dyDescent="0.25">
      <c r="A66" s="2" t="s">
        <v>127</v>
      </c>
      <c r="B66" t="s">
        <v>9</v>
      </c>
      <c r="C66" s="3">
        <v>4</v>
      </c>
      <c r="D66" t="s">
        <v>12</v>
      </c>
      <c r="E66" t="s">
        <v>131</v>
      </c>
      <c r="F66" s="5" t="s">
        <v>141</v>
      </c>
      <c r="I66" s="2" t="s">
        <v>217</v>
      </c>
      <c r="J66" t="s">
        <v>14</v>
      </c>
      <c r="K66">
        <v>128</v>
      </c>
      <c r="L66" t="s">
        <v>12</v>
      </c>
      <c r="M66" t="s">
        <v>105</v>
      </c>
      <c r="N66" s="5">
        <v>1</v>
      </c>
    </row>
    <row r="67" spans="1:14" ht="15.75" x14ac:dyDescent="0.25">
      <c r="A67" s="2" t="s">
        <v>132</v>
      </c>
      <c r="B67" t="s">
        <v>14</v>
      </c>
      <c r="C67" s="3">
        <v>128</v>
      </c>
      <c r="D67" t="s">
        <v>12</v>
      </c>
      <c r="E67" t="s">
        <v>105</v>
      </c>
      <c r="F67" s="5">
        <v>9</v>
      </c>
      <c r="I67" s="2" t="s">
        <v>198</v>
      </c>
      <c r="J67" t="s">
        <v>11</v>
      </c>
      <c r="K67" s="3">
        <v>8</v>
      </c>
      <c r="L67" t="s">
        <v>12</v>
      </c>
      <c r="M67" t="s">
        <v>105</v>
      </c>
      <c r="N67" s="5" t="s">
        <v>133</v>
      </c>
    </row>
    <row r="68" spans="1:14" ht="15.75" x14ac:dyDescent="0.25">
      <c r="A68" s="2" t="s">
        <v>22</v>
      </c>
      <c r="B68" t="s">
        <v>11</v>
      </c>
      <c r="C68" s="3">
        <v>8</v>
      </c>
      <c r="D68" t="s">
        <v>12</v>
      </c>
      <c r="E68" t="s">
        <v>131</v>
      </c>
      <c r="F68" s="5" t="s">
        <v>142</v>
      </c>
      <c r="I68" s="2" t="s">
        <v>218</v>
      </c>
      <c r="J68" t="s">
        <v>14</v>
      </c>
      <c r="K68">
        <v>128</v>
      </c>
      <c r="L68" t="s">
        <v>12</v>
      </c>
      <c r="M68" t="s">
        <v>105</v>
      </c>
      <c r="N68" s="5">
        <v>2</v>
      </c>
    </row>
    <row r="69" spans="1:14" ht="15.75" x14ac:dyDescent="0.25">
      <c r="A69" s="2" t="s">
        <v>97</v>
      </c>
      <c r="B69" t="s">
        <v>14</v>
      </c>
      <c r="C69" s="3">
        <v>128</v>
      </c>
      <c r="D69" t="s">
        <v>12</v>
      </c>
      <c r="E69" t="s">
        <v>131</v>
      </c>
      <c r="F69" s="5" t="s">
        <v>139</v>
      </c>
      <c r="I69" s="2" t="s">
        <v>219</v>
      </c>
      <c r="J69" t="s">
        <v>14</v>
      </c>
      <c r="K69">
        <v>128</v>
      </c>
      <c r="L69" t="s">
        <v>12</v>
      </c>
      <c r="M69" t="s">
        <v>105</v>
      </c>
      <c r="N69" s="5">
        <v>2</v>
      </c>
    </row>
    <row r="70" spans="1:14" ht="15.75" x14ac:dyDescent="0.25">
      <c r="A70" s="2" t="s">
        <v>113</v>
      </c>
      <c r="B70" t="s">
        <v>14</v>
      </c>
      <c r="C70" s="3">
        <v>1</v>
      </c>
      <c r="D70" t="s">
        <v>15</v>
      </c>
      <c r="E70" t="s">
        <v>105</v>
      </c>
      <c r="F70" s="5">
        <v>27</v>
      </c>
      <c r="I70" s="2" t="s">
        <v>64</v>
      </c>
      <c r="J70" t="s">
        <v>11</v>
      </c>
      <c r="K70" s="3">
        <v>8</v>
      </c>
      <c r="L70" t="s">
        <v>12</v>
      </c>
      <c r="M70" t="s">
        <v>105</v>
      </c>
      <c r="N70" s="5">
        <v>14</v>
      </c>
    </row>
    <row r="71" spans="1:14" ht="15.75" x14ac:dyDescent="0.25">
      <c r="A71" s="2" t="s">
        <v>24</v>
      </c>
      <c r="B71" t="s">
        <v>14</v>
      </c>
      <c r="C71" s="3">
        <v>128</v>
      </c>
      <c r="D71" t="s">
        <v>12</v>
      </c>
      <c r="E71" t="s">
        <v>105</v>
      </c>
      <c r="F71" s="5">
        <v>10</v>
      </c>
      <c r="I71" s="2" t="s">
        <v>115</v>
      </c>
      <c r="J71" t="s">
        <v>14</v>
      </c>
      <c r="K71">
        <v>128</v>
      </c>
      <c r="L71" t="s">
        <v>12</v>
      </c>
      <c r="M71" t="s">
        <v>105</v>
      </c>
      <c r="N71" s="5">
        <v>14</v>
      </c>
    </row>
    <row r="72" spans="1:14" ht="15.75" x14ac:dyDescent="0.25">
      <c r="A72" s="2" t="s">
        <v>114</v>
      </c>
      <c r="B72" t="s">
        <v>14</v>
      </c>
      <c r="C72" s="3">
        <v>16</v>
      </c>
      <c r="D72" t="s">
        <v>4</v>
      </c>
      <c r="E72" t="s">
        <v>105</v>
      </c>
      <c r="F72" s="5">
        <v>2</v>
      </c>
      <c r="I72" s="2" t="s">
        <v>220</v>
      </c>
      <c r="J72" t="s">
        <v>14</v>
      </c>
      <c r="K72">
        <v>128</v>
      </c>
      <c r="L72" t="s">
        <v>12</v>
      </c>
      <c r="M72" t="s">
        <v>105</v>
      </c>
      <c r="N72" s="5">
        <v>1</v>
      </c>
    </row>
    <row r="73" spans="1:14" ht="15.75" x14ac:dyDescent="0.25">
      <c r="A73" s="2" t="s">
        <v>119</v>
      </c>
      <c r="B73" t="s">
        <v>14</v>
      </c>
      <c r="C73" s="3">
        <v>128</v>
      </c>
      <c r="D73" t="s">
        <v>12</v>
      </c>
      <c r="E73" t="s">
        <v>131</v>
      </c>
      <c r="F73" s="5" t="s">
        <v>137</v>
      </c>
      <c r="I73" s="2" t="s">
        <v>128</v>
      </c>
      <c r="J73" t="s">
        <v>11</v>
      </c>
      <c r="K73">
        <v>8</v>
      </c>
      <c r="L73" t="s">
        <v>12</v>
      </c>
      <c r="M73" t="s">
        <v>105</v>
      </c>
      <c r="N73" s="5" t="s">
        <v>144</v>
      </c>
    </row>
    <row r="74" spans="1:14" ht="15.75" x14ac:dyDescent="0.25">
      <c r="A74" s="2" t="s">
        <v>120</v>
      </c>
      <c r="B74" t="s">
        <v>14</v>
      </c>
      <c r="C74" s="3">
        <v>128</v>
      </c>
      <c r="D74" t="s">
        <v>12</v>
      </c>
      <c r="E74" t="s">
        <v>131</v>
      </c>
      <c r="F74" s="5" t="s">
        <v>143</v>
      </c>
      <c r="I74" s="2" t="s">
        <v>202</v>
      </c>
      <c r="J74" t="s">
        <v>14</v>
      </c>
      <c r="K74" s="3">
        <v>16</v>
      </c>
      <c r="L74" t="s">
        <v>4</v>
      </c>
      <c r="M74" t="s">
        <v>105</v>
      </c>
      <c r="N74" s="5" t="s">
        <v>143</v>
      </c>
    </row>
    <row r="75" spans="1:14" ht="15.75" x14ac:dyDescent="0.25">
      <c r="A75" s="2" t="s">
        <v>115</v>
      </c>
      <c r="B75" t="s">
        <v>14</v>
      </c>
      <c r="C75" s="3">
        <v>128</v>
      </c>
      <c r="D75" t="s">
        <v>12</v>
      </c>
      <c r="E75" t="s">
        <v>105</v>
      </c>
      <c r="F75" s="5">
        <v>14</v>
      </c>
      <c r="I75" s="2" t="s">
        <v>221</v>
      </c>
      <c r="J75" t="s">
        <v>11</v>
      </c>
      <c r="K75" s="3">
        <v>8</v>
      </c>
      <c r="L75" t="s">
        <v>12</v>
      </c>
      <c r="M75" t="s">
        <v>105</v>
      </c>
      <c r="N75" s="5">
        <v>14</v>
      </c>
    </row>
    <row r="76" spans="1:14" ht="15.75" x14ac:dyDescent="0.25">
      <c r="A76" s="2" t="s">
        <v>121</v>
      </c>
      <c r="B76" t="s">
        <v>14</v>
      </c>
      <c r="C76" s="3">
        <v>128</v>
      </c>
      <c r="D76" t="s">
        <v>12</v>
      </c>
      <c r="E76" t="s">
        <v>131</v>
      </c>
      <c r="F76" s="5" t="s">
        <v>137</v>
      </c>
      <c r="I76" s="2" t="s">
        <v>206</v>
      </c>
      <c r="J76" t="s">
        <v>14</v>
      </c>
      <c r="K76">
        <v>128</v>
      </c>
      <c r="L76" t="s">
        <v>12</v>
      </c>
      <c r="M76" t="s">
        <v>105</v>
      </c>
      <c r="N76" s="5" t="s">
        <v>133</v>
      </c>
    </row>
    <row r="77" spans="1:14" ht="15.75" x14ac:dyDescent="0.25">
      <c r="A77" s="2" t="s">
        <v>128</v>
      </c>
      <c r="B77" t="s">
        <v>11</v>
      </c>
      <c r="C77" s="3">
        <v>8</v>
      </c>
      <c r="D77" t="s">
        <v>12</v>
      </c>
      <c r="E77" t="s">
        <v>131</v>
      </c>
      <c r="F77" s="5" t="s">
        <v>144</v>
      </c>
      <c r="I77" s="2" t="s">
        <v>225</v>
      </c>
      <c r="J77" t="s">
        <v>14</v>
      </c>
      <c r="K77">
        <v>128</v>
      </c>
      <c r="L77" t="s">
        <v>12</v>
      </c>
      <c r="M77" t="s">
        <v>105</v>
      </c>
      <c r="N77" s="5" t="s">
        <v>165</v>
      </c>
    </row>
    <row r="78" spans="1:14" ht="15.75" x14ac:dyDescent="0.25">
      <c r="A78" s="2" t="s">
        <v>122</v>
      </c>
      <c r="B78" t="s">
        <v>14</v>
      </c>
      <c r="C78" s="3">
        <v>128</v>
      </c>
      <c r="D78" t="s">
        <v>12</v>
      </c>
      <c r="E78" t="s">
        <v>131</v>
      </c>
      <c r="F78" s="5" t="s">
        <v>145</v>
      </c>
    </row>
    <row r="79" spans="1:14" ht="15.75" x14ac:dyDescent="0.25">
      <c r="A79" s="2" t="s">
        <v>123</v>
      </c>
      <c r="B79" t="s">
        <v>14</v>
      </c>
      <c r="C79" s="3">
        <v>1</v>
      </c>
      <c r="D79" t="s">
        <v>15</v>
      </c>
      <c r="E79" t="s">
        <v>131</v>
      </c>
      <c r="F79" s="5" t="s">
        <v>146</v>
      </c>
    </row>
    <row r="80" spans="1:14" ht="15.75" x14ac:dyDescent="0.25">
      <c r="A80" s="2" t="s">
        <v>124</v>
      </c>
      <c r="B80" t="s">
        <v>14</v>
      </c>
      <c r="C80" s="3">
        <v>128</v>
      </c>
      <c r="D80" t="s">
        <v>12</v>
      </c>
      <c r="E80" t="s">
        <v>131</v>
      </c>
      <c r="F80" s="5" t="s">
        <v>143</v>
      </c>
    </row>
    <row r="81" spans="1:20" ht="15.75" x14ac:dyDescent="0.25">
      <c r="A81" s="2" t="s">
        <v>116</v>
      </c>
      <c r="B81" t="s">
        <v>14</v>
      </c>
      <c r="C81" s="3">
        <v>128</v>
      </c>
      <c r="D81" t="s">
        <v>12</v>
      </c>
      <c r="E81" t="s">
        <v>105</v>
      </c>
      <c r="F81" s="5">
        <v>4</v>
      </c>
    </row>
    <row r="82" spans="1:20" ht="15.75" x14ac:dyDescent="0.25">
      <c r="A82" s="2" t="s">
        <v>125</v>
      </c>
      <c r="B82" t="s">
        <v>14</v>
      </c>
      <c r="C82" s="3">
        <v>128</v>
      </c>
      <c r="D82" t="s">
        <v>12</v>
      </c>
      <c r="E82" t="s">
        <v>131</v>
      </c>
      <c r="F82" s="5" t="s">
        <v>139</v>
      </c>
    </row>
    <row r="83" spans="1:20" ht="15.75" x14ac:dyDescent="0.25">
      <c r="A83" s="2"/>
      <c r="C83" s="3"/>
    </row>
    <row r="84" spans="1:20" ht="21" x14ac:dyDescent="0.35">
      <c r="A84" s="281" t="s">
        <v>66</v>
      </c>
      <c r="B84" s="281"/>
      <c r="C84" s="281"/>
      <c r="D84" s="281"/>
    </row>
    <row r="85" spans="1:20" x14ac:dyDescent="0.25">
      <c r="A85" t="s">
        <v>2</v>
      </c>
      <c r="C85">
        <v>1</v>
      </c>
      <c r="D85" t="s">
        <v>2</v>
      </c>
    </row>
    <row r="86" spans="1:20" ht="15.75" x14ac:dyDescent="0.25">
      <c r="A86" s="2" t="s">
        <v>32</v>
      </c>
      <c r="B86" t="s">
        <v>17</v>
      </c>
      <c r="C86" s="3">
        <v>1</v>
      </c>
      <c r="D86" t="s">
        <v>4</v>
      </c>
    </row>
    <row r="87" spans="1:20" ht="15.75" x14ac:dyDescent="0.25">
      <c r="A87" s="2" t="s">
        <v>67</v>
      </c>
      <c r="B87" t="s">
        <v>11</v>
      </c>
      <c r="C87" s="3">
        <v>8</v>
      </c>
      <c r="D87" t="s">
        <v>12</v>
      </c>
    </row>
    <row r="88" spans="1:20" ht="15.75" x14ac:dyDescent="0.25">
      <c r="A88" s="2" t="s">
        <v>68</v>
      </c>
      <c r="B88" t="s">
        <v>11</v>
      </c>
      <c r="C88" s="3">
        <v>8</v>
      </c>
      <c r="D88" t="s">
        <v>12</v>
      </c>
    </row>
    <row r="89" spans="1:20" ht="15.75" x14ac:dyDescent="0.25">
      <c r="A89" s="2" t="s">
        <v>70</v>
      </c>
      <c r="B89" t="s">
        <v>14</v>
      </c>
      <c r="C89" s="3">
        <v>1</v>
      </c>
      <c r="D89" t="s">
        <v>12</v>
      </c>
    </row>
    <row r="90" spans="1:20" ht="15.75" x14ac:dyDescent="0.25">
      <c r="A90" s="2" t="s">
        <v>71</v>
      </c>
      <c r="B90" t="s">
        <v>14</v>
      </c>
      <c r="C90" s="3">
        <v>128</v>
      </c>
      <c r="D90" t="s">
        <v>12</v>
      </c>
    </row>
    <row r="91" spans="1:20" ht="15.75" x14ac:dyDescent="0.25">
      <c r="A91" s="2" t="s">
        <v>69</v>
      </c>
      <c r="B91" t="s">
        <v>9</v>
      </c>
      <c r="C91" s="3">
        <v>4</v>
      </c>
      <c r="D91" t="s">
        <v>12</v>
      </c>
    </row>
    <row r="92" spans="1:20" ht="15.75" x14ac:dyDescent="0.25">
      <c r="A92" s="2"/>
      <c r="C92" s="3"/>
    </row>
    <row r="94" spans="1:20" ht="21" x14ac:dyDescent="0.35">
      <c r="A94" s="281" t="s">
        <v>276</v>
      </c>
      <c r="B94" s="281"/>
      <c r="C94" s="281"/>
      <c r="D94" s="281"/>
      <c r="I94" s="281" t="s">
        <v>275</v>
      </c>
      <c r="J94" s="281"/>
      <c r="K94" s="281"/>
      <c r="L94" s="281"/>
      <c r="Q94" s="281" t="s">
        <v>274</v>
      </c>
      <c r="R94" s="281"/>
      <c r="S94" s="281"/>
      <c r="T94" s="281"/>
    </row>
    <row r="95" spans="1:20" ht="15.75" x14ac:dyDescent="0.25">
      <c r="A95" s="2" t="s">
        <v>2</v>
      </c>
      <c r="C95" s="3">
        <v>1</v>
      </c>
      <c r="D95" t="s">
        <v>2</v>
      </c>
      <c r="I95" s="2" t="s">
        <v>2</v>
      </c>
      <c r="K95" s="3">
        <v>1</v>
      </c>
      <c r="L95" t="s">
        <v>2</v>
      </c>
      <c r="Q95" s="2" t="s">
        <v>2</v>
      </c>
      <c r="S95" s="3">
        <v>1</v>
      </c>
      <c r="T95" t="s">
        <v>2</v>
      </c>
    </row>
    <row r="96" spans="1:20" x14ac:dyDescent="0.25">
      <c r="A96" t="s">
        <v>287</v>
      </c>
      <c r="B96" t="s">
        <v>14</v>
      </c>
      <c r="C96" s="3">
        <v>128</v>
      </c>
      <c r="D96" t="s">
        <v>3</v>
      </c>
      <c r="E96" s="1"/>
      <c r="I96" t="s">
        <v>267</v>
      </c>
      <c r="J96" t="s">
        <v>14</v>
      </c>
      <c r="K96" s="3">
        <v>128</v>
      </c>
      <c r="L96" t="s">
        <v>3</v>
      </c>
      <c r="Q96" t="s">
        <v>267</v>
      </c>
      <c r="R96" t="s">
        <v>14</v>
      </c>
      <c r="S96" s="3">
        <v>128</v>
      </c>
      <c r="T96" t="s">
        <v>3</v>
      </c>
    </row>
    <row r="97" spans="1:20" x14ac:dyDescent="0.25">
      <c r="A97" t="s">
        <v>279</v>
      </c>
      <c r="B97" t="s">
        <v>14</v>
      </c>
      <c r="C97" s="3">
        <v>128</v>
      </c>
      <c r="D97" t="s">
        <v>3</v>
      </c>
      <c r="E97" s="1"/>
      <c r="I97" t="s">
        <v>268</v>
      </c>
      <c r="J97" t="s">
        <v>14</v>
      </c>
      <c r="K97" s="3">
        <v>128</v>
      </c>
      <c r="L97" t="s">
        <v>3</v>
      </c>
      <c r="Q97" t="s">
        <v>268</v>
      </c>
      <c r="R97" t="s">
        <v>14</v>
      </c>
      <c r="S97" s="3">
        <v>128</v>
      </c>
      <c r="T97" t="s">
        <v>3</v>
      </c>
    </row>
    <row r="98" spans="1:20" x14ac:dyDescent="0.25">
      <c r="A98" t="s">
        <v>282</v>
      </c>
      <c r="B98" t="s">
        <v>14</v>
      </c>
      <c r="C98" s="3">
        <v>128</v>
      </c>
      <c r="D98" t="s">
        <v>3</v>
      </c>
      <c r="E98" s="1"/>
      <c r="I98" t="s">
        <v>259</v>
      </c>
      <c r="J98" t="s">
        <v>14</v>
      </c>
      <c r="K98" s="3">
        <v>128</v>
      </c>
      <c r="L98" t="s">
        <v>3</v>
      </c>
      <c r="Q98" t="s">
        <v>259</v>
      </c>
      <c r="R98" t="s">
        <v>14</v>
      </c>
      <c r="S98" s="3">
        <v>128</v>
      </c>
      <c r="T98" t="s">
        <v>3</v>
      </c>
    </row>
    <row r="99" spans="1:20" x14ac:dyDescent="0.25">
      <c r="A99" t="s">
        <v>280</v>
      </c>
      <c r="B99" t="s">
        <v>14</v>
      </c>
      <c r="C99" s="3">
        <v>128</v>
      </c>
      <c r="D99" t="s">
        <v>3</v>
      </c>
      <c r="E99" s="1"/>
      <c r="I99" t="s">
        <v>262</v>
      </c>
      <c r="J99" t="s">
        <v>14</v>
      </c>
      <c r="K99" s="3">
        <v>128</v>
      </c>
      <c r="L99" t="s">
        <v>3</v>
      </c>
      <c r="Q99" t="s">
        <v>262</v>
      </c>
      <c r="R99" t="s">
        <v>14</v>
      </c>
      <c r="S99" s="3">
        <v>128</v>
      </c>
      <c r="T99" t="s">
        <v>3</v>
      </c>
    </row>
    <row r="100" spans="1:20" x14ac:dyDescent="0.25">
      <c r="A100" t="s">
        <v>263</v>
      </c>
      <c r="B100" t="s">
        <v>14</v>
      </c>
      <c r="C100" s="3">
        <v>128</v>
      </c>
      <c r="D100" t="s">
        <v>3</v>
      </c>
      <c r="E100" s="1"/>
      <c r="I100" t="s">
        <v>269</v>
      </c>
      <c r="J100" t="s">
        <v>14</v>
      </c>
      <c r="K100" s="3">
        <v>128</v>
      </c>
      <c r="L100" t="s">
        <v>3</v>
      </c>
      <c r="Q100" t="s">
        <v>269</v>
      </c>
      <c r="R100" t="s">
        <v>14</v>
      </c>
      <c r="S100" s="3">
        <v>128</v>
      </c>
      <c r="T100" t="s">
        <v>3</v>
      </c>
    </row>
    <row r="101" spans="1:20" x14ac:dyDescent="0.25">
      <c r="A101" t="s">
        <v>283</v>
      </c>
      <c r="B101" t="s">
        <v>14</v>
      </c>
      <c r="C101" s="3">
        <v>128</v>
      </c>
      <c r="D101" t="s">
        <v>3</v>
      </c>
      <c r="E101" s="1"/>
      <c r="I101" t="s">
        <v>261</v>
      </c>
      <c r="J101" t="s">
        <v>14</v>
      </c>
      <c r="K101" s="3">
        <v>128</v>
      </c>
      <c r="L101" t="s">
        <v>3</v>
      </c>
      <c r="Q101" t="s">
        <v>261</v>
      </c>
      <c r="R101" t="s">
        <v>14</v>
      </c>
      <c r="S101" s="3">
        <v>128</v>
      </c>
      <c r="T101" t="s">
        <v>3</v>
      </c>
    </row>
    <row r="102" spans="1:20" x14ac:dyDescent="0.25">
      <c r="A102" t="s">
        <v>278</v>
      </c>
      <c r="B102" t="s">
        <v>14</v>
      </c>
      <c r="C102" s="3">
        <v>128</v>
      </c>
      <c r="D102" t="s">
        <v>3</v>
      </c>
      <c r="E102" s="1"/>
      <c r="I102" t="s">
        <v>263</v>
      </c>
      <c r="J102" t="s">
        <v>14</v>
      </c>
      <c r="K102" s="3">
        <v>128</v>
      </c>
      <c r="L102" t="s">
        <v>3</v>
      </c>
      <c r="Q102" t="s">
        <v>263</v>
      </c>
      <c r="R102" t="s">
        <v>14</v>
      </c>
      <c r="S102" s="3">
        <v>128</v>
      </c>
      <c r="T102" t="s">
        <v>3</v>
      </c>
    </row>
    <row r="103" spans="1:20" x14ac:dyDescent="0.25">
      <c r="A103" t="s">
        <v>285</v>
      </c>
      <c r="B103" t="s">
        <v>14</v>
      </c>
      <c r="C103" s="3">
        <v>128</v>
      </c>
      <c r="D103" t="s">
        <v>3</v>
      </c>
      <c r="E103" s="1"/>
      <c r="I103" t="s">
        <v>260</v>
      </c>
      <c r="J103" t="s">
        <v>14</v>
      </c>
      <c r="K103" s="3">
        <v>128</v>
      </c>
      <c r="L103" t="s">
        <v>3</v>
      </c>
      <c r="Q103" t="s">
        <v>260</v>
      </c>
      <c r="R103" t="s">
        <v>14</v>
      </c>
      <c r="S103" s="3">
        <v>128</v>
      </c>
      <c r="T103" t="s">
        <v>3</v>
      </c>
    </row>
    <row r="104" spans="1:20" x14ac:dyDescent="0.25">
      <c r="A104" t="s">
        <v>284</v>
      </c>
      <c r="B104" t="s">
        <v>14</v>
      </c>
      <c r="C104" s="3">
        <v>128</v>
      </c>
      <c r="D104" t="s">
        <v>3</v>
      </c>
      <c r="E104" s="1"/>
      <c r="I104" t="s">
        <v>270</v>
      </c>
      <c r="J104" t="s">
        <v>14</v>
      </c>
      <c r="K104" s="3">
        <v>128</v>
      </c>
      <c r="L104" t="s">
        <v>3</v>
      </c>
      <c r="Q104" t="s">
        <v>270</v>
      </c>
      <c r="R104" t="s">
        <v>14</v>
      </c>
      <c r="S104" s="3">
        <v>128</v>
      </c>
      <c r="T104" t="s">
        <v>3</v>
      </c>
    </row>
    <row r="105" spans="1:20" x14ac:dyDescent="0.25">
      <c r="A105" t="s">
        <v>264</v>
      </c>
      <c r="B105" t="s">
        <v>14</v>
      </c>
      <c r="C105" s="3">
        <v>128</v>
      </c>
      <c r="D105" t="s">
        <v>3</v>
      </c>
      <c r="E105" s="1"/>
      <c r="I105" t="s">
        <v>271</v>
      </c>
      <c r="J105" t="s">
        <v>14</v>
      </c>
      <c r="K105" s="3">
        <v>128</v>
      </c>
      <c r="L105" t="s">
        <v>3</v>
      </c>
      <c r="Q105" t="s">
        <v>271</v>
      </c>
      <c r="R105" t="s">
        <v>14</v>
      </c>
      <c r="S105" s="3">
        <v>128</v>
      </c>
      <c r="T105" t="s">
        <v>3</v>
      </c>
    </row>
    <row r="106" spans="1:20" x14ac:dyDescent="0.25">
      <c r="A106" t="s">
        <v>277</v>
      </c>
      <c r="B106" t="s">
        <v>14</v>
      </c>
      <c r="C106" s="3">
        <v>128</v>
      </c>
      <c r="D106" t="s">
        <v>3</v>
      </c>
      <c r="E106" s="1"/>
      <c r="I106" t="s">
        <v>33</v>
      </c>
      <c r="J106" t="s">
        <v>14</v>
      </c>
      <c r="K106" s="3">
        <v>128</v>
      </c>
      <c r="L106" t="s">
        <v>3</v>
      </c>
      <c r="Q106" t="s">
        <v>33</v>
      </c>
      <c r="R106" t="s">
        <v>14</v>
      </c>
      <c r="S106" s="3">
        <v>128</v>
      </c>
      <c r="T106" t="s">
        <v>3</v>
      </c>
    </row>
    <row r="107" spans="1:20" x14ac:dyDescent="0.25">
      <c r="A107" t="s">
        <v>272</v>
      </c>
      <c r="B107" t="s">
        <v>14</v>
      </c>
      <c r="C107" s="3">
        <v>128</v>
      </c>
      <c r="D107" t="s">
        <v>3</v>
      </c>
      <c r="E107" s="1"/>
      <c r="I107" t="s">
        <v>264</v>
      </c>
      <c r="J107" t="s">
        <v>14</v>
      </c>
      <c r="K107" s="3">
        <v>128</v>
      </c>
      <c r="L107" t="s">
        <v>3</v>
      </c>
      <c r="Q107" t="s">
        <v>264</v>
      </c>
      <c r="R107" t="s">
        <v>14</v>
      </c>
      <c r="S107" s="3">
        <v>128</v>
      </c>
      <c r="T107" t="s">
        <v>3</v>
      </c>
    </row>
    <row r="108" spans="1:20" x14ac:dyDescent="0.25">
      <c r="A108" t="s">
        <v>286</v>
      </c>
      <c r="B108" t="s">
        <v>14</v>
      </c>
      <c r="C108" s="3">
        <v>128</v>
      </c>
      <c r="D108" t="s">
        <v>3</v>
      </c>
      <c r="E108" s="1"/>
      <c r="I108" t="s">
        <v>265</v>
      </c>
      <c r="J108" t="s">
        <v>14</v>
      </c>
      <c r="K108" s="3">
        <v>128</v>
      </c>
      <c r="L108" t="s">
        <v>3</v>
      </c>
      <c r="Q108" t="s">
        <v>265</v>
      </c>
      <c r="R108" t="s">
        <v>14</v>
      </c>
      <c r="S108" s="3">
        <v>128</v>
      </c>
      <c r="T108" t="s">
        <v>3</v>
      </c>
    </row>
    <row r="109" spans="1:20" x14ac:dyDescent="0.25">
      <c r="A109" t="s">
        <v>266</v>
      </c>
      <c r="B109" t="s">
        <v>14</v>
      </c>
      <c r="C109" s="3">
        <v>128</v>
      </c>
      <c r="D109" t="s">
        <v>3</v>
      </c>
      <c r="E109" s="1"/>
      <c r="I109" t="s">
        <v>272</v>
      </c>
      <c r="J109" t="s">
        <v>14</v>
      </c>
      <c r="K109" s="3">
        <v>128</v>
      </c>
      <c r="L109" t="s">
        <v>3</v>
      </c>
      <c r="Q109" t="s">
        <v>272</v>
      </c>
      <c r="R109" t="s">
        <v>14</v>
      </c>
      <c r="S109" s="3">
        <v>128</v>
      </c>
      <c r="T109" t="s">
        <v>3</v>
      </c>
    </row>
    <row r="110" spans="1:20" x14ac:dyDescent="0.25">
      <c r="A110" t="s">
        <v>281</v>
      </c>
      <c r="B110" t="s">
        <v>14</v>
      </c>
      <c r="C110" s="3">
        <v>128</v>
      </c>
      <c r="D110" t="s">
        <v>3</v>
      </c>
      <c r="E110" s="1"/>
      <c r="I110" t="s">
        <v>34</v>
      </c>
      <c r="J110" t="s">
        <v>14</v>
      </c>
      <c r="K110" s="3">
        <v>128</v>
      </c>
      <c r="L110" t="s">
        <v>3</v>
      </c>
      <c r="Q110" t="s">
        <v>34</v>
      </c>
      <c r="R110" t="s">
        <v>14</v>
      </c>
      <c r="S110" s="3">
        <v>128</v>
      </c>
      <c r="T110" t="s">
        <v>3</v>
      </c>
    </row>
    <row r="111" spans="1:20" x14ac:dyDescent="0.25">
      <c r="I111" t="s">
        <v>266</v>
      </c>
      <c r="J111" t="s">
        <v>14</v>
      </c>
      <c r="K111" s="3">
        <v>128</v>
      </c>
      <c r="L111" t="s">
        <v>3</v>
      </c>
      <c r="Q111" t="s">
        <v>266</v>
      </c>
      <c r="R111" t="s">
        <v>14</v>
      </c>
      <c r="S111" s="3">
        <v>128</v>
      </c>
      <c r="T111" t="s">
        <v>3</v>
      </c>
    </row>
    <row r="112" spans="1:20" x14ac:dyDescent="0.25">
      <c r="I112" t="s">
        <v>273</v>
      </c>
      <c r="J112" t="s">
        <v>14</v>
      </c>
      <c r="K112" s="3">
        <v>128</v>
      </c>
      <c r="L112" t="s">
        <v>3</v>
      </c>
      <c r="Q112" t="s">
        <v>273</v>
      </c>
      <c r="R112" t="s">
        <v>14</v>
      </c>
      <c r="S112" s="3">
        <v>128</v>
      </c>
      <c r="T112" t="s">
        <v>3</v>
      </c>
    </row>
    <row r="113" spans="1:20" x14ac:dyDescent="0.25">
      <c r="E113" s="1"/>
    </row>
    <row r="114" spans="1:20" x14ac:dyDescent="0.25">
      <c r="E114" s="1"/>
    </row>
    <row r="115" spans="1:20" x14ac:dyDescent="0.25">
      <c r="E115" s="1"/>
    </row>
    <row r="116" spans="1:20" x14ac:dyDescent="0.25">
      <c r="E116" s="1"/>
    </row>
    <row r="117" spans="1:20" ht="21" x14ac:dyDescent="0.35">
      <c r="A117" s="281" t="s">
        <v>72</v>
      </c>
      <c r="B117" s="281"/>
      <c r="C117" s="281"/>
      <c r="D117" s="281"/>
      <c r="E117" s="1"/>
      <c r="I117" s="281" t="s">
        <v>332</v>
      </c>
      <c r="J117" s="281"/>
      <c r="K117" s="281"/>
      <c r="L117" s="281"/>
      <c r="Q117" s="281" t="s">
        <v>72</v>
      </c>
      <c r="R117" s="281"/>
      <c r="S117" s="281"/>
      <c r="T117" s="281"/>
    </row>
    <row r="118" spans="1:20" ht="15.75" x14ac:dyDescent="0.25">
      <c r="A118" s="2" t="s">
        <v>2</v>
      </c>
      <c r="C118" s="3">
        <v>1</v>
      </c>
      <c r="D118" t="s">
        <v>2</v>
      </c>
      <c r="E118" s="1"/>
      <c r="I118" s="2" t="s">
        <v>2</v>
      </c>
      <c r="K118" s="3">
        <v>1</v>
      </c>
      <c r="L118" t="s">
        <v>2</v>
      </c>
      <c r="Q118" s="2" t="s">
        <v>2</v>
      </c>
      <c r="S118" s="3">
        <v>1</v>
      </c>
      <c r="T118" t="s">
        <v>2</v>
      </c>
    </row>
    <row r="119" spans="1:20" x14ac:dyDescent="0.25">
      <c r="A119" t="s">
        <v>73</v>
      </c>
      <c r="B119" t="s">
        <v>11</v>
      </c>
      <c r="C119" s="3">
        <v>8</v>
      </c>
      <c r="D119" t="s">
        <v>12</v>
      </c>
      <c r="E119" s="1"/>
      <c r="I119" t="s">
        <v>73</v>
      </c>
      <c r="J119" t="s">
        <v>11</v>
      </c>
      <c r="K119" s="3">
        <v>8</v>
      </c>
      <c r="L119" t="s">
        <v>12</v>
      </c>
      <c r="Q119" t="s">
        <v>73</v>
      </c>
      <c r="R119" t="s">
        <v>11</v>
      </c>
      <c r="S119" s="3">
        <v>8</v>
      </c>
      <c r="T119" t="s">
        <v>12</v>
      </c>
    </row>
    <row r="120" spans="1:20" x14ac:dyDescent="0.25">
      <c r="A120" t="s">
        <v>74</v>
      </c>
      <c r="B120" t="s">
        <v>14</v>
      </c>
      <c r="C120" s="3">
        <v>1</v>
      </c>
      <c r="D120" t="s">
        <v>12</v>
      </c>
      <c r="I120" t="s">
        <v>74</v>
      </c>
      <c r="J120" t="s">
        <v>14</v>
      </c>
      <c r="K120" s="3">
        <v>1</v>
      </c>
      <c r="L120" t="s">
        <v>12</v>
      </c>
      <c r="Q120" t="s">
        <v>74</v>
      </c>
      <c r="R120" t="s">
        <v>14</v>
      </c>
      <c r="S120" s="3">
        <v>1</v>
      </c>
      <c r="T120" t="s">
        <v>12</v>
      </c>
    </row>
    <row r="121" spans="1:20" x14ac:dyDescent="0.25">
      <c r="A121" t="s">
        <v>75</v>
      </c>
      <c r="B121" t="s">
        <v>17</v>
      </c>
      <c r="C121" s="3">
        <v>1</v>
      </c>
      <c r="D121" t="s">
        <v>4</v>
      </c>
      <c r="I121" t="s">
        <v>75</v>
      </c>
      <c r="J121" t="s">
        <v>17</v>
      </c>
      <c r="K121" s="3">
        <v>1</v>
      </c>
      <c r="L121" t="s">
        <v>4</v>
      </c>
      <c r="Q121" t="s">
        <v>75</v>
      </c>
      <c r="R121" t="s">
        <v>17</v>
      </c>
      <c r="S121" s="3">
        <v>1</v>
      </c>
      <c r="T121" t="s">
        <v>4</v>
      </c>
    </row>
    <row r="122" spans="1:20" x14ac:dyDescent="0.25">
      <c r="A122" t="s">
        <v>76</v>
      </c>
      <c r="B122" t="s">
        <v>9</v>
      </c>
      <c r="C122" s="3">
        <v>4</v>
      </c>
      <c r="D122" t="s">
        <v>12</v>
      </c>
      <c r="I122" t="s">
        <v>76</v>
      </c>
      <c r="J122" t="s">
        <v>9</v>
      </c>
      <c r="K122" s="3">
        <v>4</v>
      </c>
      <c r="L122" t="s">
        <v>12</v>
      </c>
      <c r="Q122" t="s">
        <v>76</v>
      </c>
      <c r="R122" t="s">
        <v>9</v>
      </c>
      <c r="S122" s="3">
        <v>4</v>
      </c>
      <c r="T122" t="s">
        <v>12</v>
      </c>
    </row>
    <row r="125" spans="1:20" ht="15.75" x14ac:dyDescent="0.25">
      <c r="A125" s="2" t="s">
        <v>2</v>
      </c>
      <c r="C125" s="3">
        <v>1</v>
      </c>
      <c r="D125" t="s">
        <v>2</v>
      </c>
      <c r="I125" s="2" t="s">
        <v>2</v>
      </c>
      <c r="K125" s="3">
        <v>1</v>
      </c>
      <c r="L125" t="s">
        <v>2</v>
      </c>
      <c r="Q125" s="2" t="s">
        <v>2</v>
      </c>
      <c r="S125" s="3">
        <v>1</v>
      </c>
      <c r="T125" t="s">
        <v>2</v>
      </c>
    </row>
    <row r="126" spans="1:20" x14ac:dyDescent="0.25">
      <c r="A126" t="s">
        <v>296</v>
      </c>
      <c r="B126" t="s">
        <v>14</v>
      </c>
      <c r="C126" s="3">
        <v>1</v>
      </c>
      <c r="D126" t="s">
        <v>12</v>
      </c>
      <c r="I126" t="s">
        <v>296</v>
      </c>
      <c r="J126" t="s">
        <v>14</v>
      </c>
      <c r="K126" s="3">
        <v>1</v>
      </c>
      <c r="L126" t="s">
        <v>12</v>
      </c>
      <c r="Q126" t="s">
        <v>300</v>
      </c>
      <c r="R126" t="s">
        <v>14</v>
      </c>
      <c r="S126" s="3">
        <v>1</v>
      </c>
      <c r="T126" t="s">
        <v>12</v>
      </c>
    </row>
    <row r="127" spans="1:20" x14ac:dyDescent="0.25">
      <c r="A127" t="s">
        <v>297</v>
      </c>
      <c r="B127" t="s">
        <v>14</v>
      </c>
      <c r="C127" s="3">
        <v>1</v>
      </c>
      <c r="D127" t="s">
        <v>12</v>
      </c>
      <c r="I127" t="s">
        <v>297</v>
      </c>
      <c r="J127" t="s">
        <v>14</v>
      </c>
      <c r="K127" s="3">
        <v>1</v>
      </c>
      <c r="L127" t="s">
        <v>12</v>
      </c>
      <c r="Q127" t="s">
        <v>334</v>
      </c>
      <c r="R127" t="s">
        <v>17</v>
      </c>
      <c r="S127" s="3">
        <v>5</v>
      </c>
      <c r="T127" t="s">
        <v>4</v>
      </c>
    </row>
    <row r="128" spans="1:20" x14ac:dyDescent="0.25">
      <c r="A128" t="s">
        <v>298</v>
      </c>
      <c r="B128" t="s">
        <v>14</v>
      </c>
      <c r="C128" s="3">
        <v>1</v>
      </c>
      <c r="D128" t="s">
        <v>12</v>
      </c>
      <c r="I128" t="s">
        <v>298</v>
      </c>
      <c r="J128" t="s">
        <v>14</v>
      </c>
      <c r="K128" s="3">
        <v>1</v>
      </c>
      <c r="L128" t="s">
        <v>12</v>
      </c>
      <c r="Q128" t="s">
        <v>335</v>
      </c>
      <c r="R128" t="s">
        <v>11</v>
      </c>
      <c r="S128" s="3">
        <v>8</v>
      </c>
      <c r="T128" t="s">
        <v>12</v>
      </c>
    </row>
    <row r="129" spans="1:20" x14ac:dyDescent="0.25">
      <c r="A129" t="s">
        <v>338</v>
      </c>
      <c r="B129" t="s">
        <v>14</v>
      </c>
      <c r="C129" s="3">
        <v>1</v>
      </c>
      <c r="D129" t="s">
        <v>12</v>
      </c>
      <c r="I129" t="s">
        <v>299</v>
      </c>
      <c r="J129" t="s">
        <v>14</v>
      </c>
      <c r="K129" s="3">
        <v>1</v>
      </c>
      <c r="L129" t="s">
        <v>12</v>
      </c>
      <c r="Q129" t="s">
        <v>295</v>
      </c>
      <c r="R129" t="s">
        <v>17</v>
      </c>
      <c r="S129" s="3">
        <v>1</v>
      </c>
      <c r="T129" t="s">
        <v>4</v>
      </c>
    </row>
    <row r="130" spans="1:20" x14ac:dyDescent="0.25">
      <c r="A130" t="s">
        <v>339</v>
      </c>
      <c r="B130" t="s">
        <v>14</v>
      </c>
      <c r="C130" s="3">
        <v>1</v>
      </c>
      <c r="D130" t="s">
        <v>12</v>
      </c>
      <c r="I130" t="s">
        <v>300</v>
      </c>
      <c r="J130" t="s">
        <v>14</v>
      </c>
      <c r="K130" s="3">
        <v>1</v>
      </c>
      <c r="L130" t="s">
        <v>12</v>
      </c>
      <c r="Q130" t="s">
        <v>294</v>
      </c>
      <c r="R130" t="s">
        <v>14</v>
      </c>
      <c r="S130" s="3">
        <v>1</v>
      </c>
      <c r="T130" t="s">
        <v>12</v>
      </c>
    </row>
    <row r="131" spans="1:20" x14ac:dyDescent="0.25">
      <c r="A131" t="s">
        <v>340</v>
      </c>
      <c r="B131" t="s">
        <v>14</v>
      </c>
      <c r="C131" s="3">
        <v>1</v>
      </c>
      <c r="D131" t="s">
        <v>12</v>
      </c>
      <c r="I131" t="s">
        <v>301</v>
      </c>
      <c r="J131" t="s">
        <v>14</v>
      </c>
      <c r="K131" s="3">
        <v>1</v>
      </c>
      <c r="L131" t="s">
        <v>12</v>
      </c>
      <c r="Q131" t="s">
        <v>337</v>
      </c>
      <c r="R131" t="s">
        <v>11</v>
      </c>
      <c r="S131" s="3">
        <v>8</v>
      </c>
      <c r="T131" t="s">
        <v>12</v>
      </c>
    </row>
    <row r="132" spans="1:20" x14ac:dyDescent="0.25">
      <c r="A132" t="s">
        <v>301</v>
      </c>
      <c r="B132" t="s">
        <v>14</v>
      </c>
      <c r="C132" s="3">
        <v>1</v>
      </c>
      <c r="D132" t="s">
        <v>12</v>
      </c>
      <c r="I132" t="s">
        <v>302</v>
      </c>
      <c r="J132" t="s">
        <v>14</v>
      </c>
      <c r="K132" s="3">
        <v>1</v>
      </c>
      <c r="L132" t="s">
        <v>12</v>
      </c>
      <c r="Q132" t="s">
        <v>360</v>
      </c>
      <c r="R132" t="s">
        <v>14</v>
      </c>
      <c r="S132" s="3">
        <v>1</v>
      </c>
      <c r="T132" t="s">
        <v>12</v>
      </c>
    </row>
    <row r="133" spans="1:20" x14ac:dyDescent="0.25">
      <c r="A133" t="s">
        <v>302</v>
      </c>
      <c r="B133" t="s">
        <v>14</v>
      </c>
      <c r="C133" s="3">
        <v>1</v>
      </c>
      <c r="D133" t="s">
        <v>12</v>
      </c>
      <c r="I133" t="s">
        <v>303</v>
      </c>
      <c r="J133" t="s">
        <v>14</v>
      </c>
      <c r="K133" s="3">
        <v>1</v>
      </c>
      <c r="L133" t="s">
        <v>12</v>
      </c>
      <c r="Q133" t="s">
        <v>356</v>
      </c>
      <c r="R133" t="s">
        <v>14</v>
      </c>
      <c r="S133" s="3">
        <v>1</v>
      </c>
      <c r="T133" t="s">
        <v>12</v>
      </c>
    </row>
    <row r="134" spans="1:20" x14ac:dyDescent="0.25">
      <c r="A134" t="s">
        <v>341</v>
      </c>
      <c r="B134" t="s">
        <v>14</v>
      </c>
      <c r="C134" s="3">
        <v>1</v>
      </c>
      <c r="D134" t="s">
        <v>12</v>
      </c>
      <c r="I134" t="s">
        <v>304</v>
      </c>
      <c r="J134" t="s">
        <v>11</v>
      </c>
      <c r="K134" s="3">
        <v>8</v>
      </c>
      <c r="L134" t="s">
        <v>12</v>
      </c>
      <c r="Q134" t="s">
        <v>324</v>
      </c>
      <c r="R134" t="s">
        <v>9</v>
      </c>
      <c r="S134" s="3">
        <v>4</v>
      </c>
      <c r="T134" t="s">
        <v>12</v>
      </c>
    </row>
    <row r="135" spans="1:20" x14ac:dyDescent="0.25">
      <c r="A135" t="s">
        <v>303</v>
      </c>
      <c r="B135" t="s">
        <v>14</v>
      </c>
      <c r="C135" s="3">
        <v>1</v>
      </c>
      <c r="D135" t="s">
        <v>12</v>
      </c>
      <c r="I135" t="s">
        <v>305</v>
      </c>
      <c r="J135" t="s">
        <v>11</v>
      </c>
      <c r="K135" s="3">
        <v>8</v>
      </c>
      <c r="L135" t="s">
        <v>12</v>
      </c>
      <c r="Q135" t="s">
        <v>328</v>
      </c>
      <c r="R135" t="s">
        <v>14</v>
      </c>
      <c r="S135" s="3">
        <v>1</v>
      </c>
      <c r="T135" t="s">
        <v>12</v>
      </c>
    </row>
    <row r="136" spans="1:20" x14ac:dyDescent="0.25">
      <c r="A136" t="s">
        <v>342</v>
      </c>
      <c r="B136" t="s">
        <v>14</v>
      </c>
      <c r="C136" s="3">
        <v>1</v>
      </c>
      <c r="D136" t="s">
        <v>12</v>
      </c>
      <c r="I136" t="s">
        <v>306</v>
      </c>
      <c r="J136" t="s">
        <v>14</v>
      </c>
      <c r="K136" s="3">
        <v>1</v>
      </c>
      <c r="L136" t="s">
        <v>12</v>
      </c>
      <c r="Q136" t="s">
        <v>329</v>
      </c>
      <c r="R136" t="s">
        <v>14</v>
      </c>
      <c r="S136" s="3">
        <v>1</v>
      </c>
      <c r="T136" t="s">
        <v>12</v>
      </c>
    </row>
    <row r="137" spans="1:20" x14ac:dyDescent="0.25">
      <c r="A137" t="s">
        <v>306</v>
      </c>
      <c r="B137" t="s">
        <v>14</v>
      </c>
      <c r="C137" s="3">
        <v>1</v>
      </c>
      <c r="D137" t="s">
        <v>12</v>
      </c>
      <c r="I137" t="s">
        <v>307</v>
      </c>
      <c r="J137" t="s">
        <v>11</v>
      </c>
      <c r="K137" s="3">
        <v>8</v>
      </c>
      <c r="L137" t="s">
        <v>12</v>
      </c>
    </row>
    <row r="138" spans="1:20" x14ac:dyDescent="0.25">
      <c r="A138" t="s">
        <v>343</v>
      </c>
      <c r="B138" t="s">
        <v>11</v>
      </c>
      <c r="C138" s="3">
        <v>8</v>
      </c>
      <c r="D138" t="s">
        <v>12</v>
      </c>
      <c r="I138" t="s">
        <v>308</v>
      </c>
      <c r="J138" t="s">
        <v>11</v>
      </c>
      <c r="K138" s="3">
        <v>8</v>
      </c>
      <c r="L138" t="s">
        <v>12</v>
      </c>
    </row>
    <row r="139" spans="1:20" x14ac:dyDescent="0.25">
      <c r="A139" t="s">
        <v>344</v>
      </c>
      <c r="B139" t="s">
        <v>14</v>
      </c>
      <c r="C139" s="3">
        <v>1</v>
      </c>
      <c r="D139" t="s">
        <v>12</v>
      </c>
      <c r="I139" t="s">
        <v>330</v>
      </c>
      <c r="J139" t="s">
        <v>14</v>
      </c>
      <c r="K139" s="3">
        <v>1</v>
      </c>
      <c r="L139" t="s">
        <v>12</v>
      </c>
    </row>
    <row r="140" spans="1:20" x14ac:dyDescent="0.25">
      <c r="A140" t="s">
        <v>345</v>
      </c>
      <c r="B140" t="s">
        <v>14</v>
      </c>
      <c r="C140" s="3">
        <v>1</v>
      </c>
      <c r="D140" t="s">
        <v>12</v>
      </c>
      <c r="I140" t="s">
        <v>309</v>
      </c>
      <c r="J140" t="s">
        <v>14</v>
      </c>
      <c r="K140" s="3">
        <v>1</v>
      </c>
      <c r="L140" t="s">
        <v>12</v>
      </c>
    </row>
    <row r="141" spans="1:20" x14ac:dyDescent="0.25">
      <c r="A141" t="s">
        <v>346</v>
      </c>
      <c r="B141" t="s">
        <v>17</v>
      </c>
      <c r="C141" s="3">
        <v>50</v>
      </c>
      <c r="D141" t="s">
        <v>4</v>
      </c>
      <c r="I141" t="s">
        <v>310</v>
      </c>
      <c r="J141" t="s">
        <v>14</v>
      </c>
      <c r="K141" s="3">
        <v>1</v>
      </c>
      <c r="L141" t="s">
        <v>12</v>
      </c>
    </row>
    <row r="142" spans="1:20" x14ac:dyDescent="0.25">
      <c r="A142" t="s">
        <v>307</v>
      </c>
      <c r="B142" t="s">
        <v>11</v>
      </c>
      <c r="C142" s="3">
        <v>8</v>
      </c>
      <c r="D142" t="s">
        <v>12</v>
      </c>
      <c r="I142" t="s">
        <v>311</v>
      </c>
      <c r="J142" t="s">
        <v>14</v>
      </c>
      <c r="K142" s="3">
        <v>1</v>
      </c>
      <c r="L142" t="s">
        <v>12</v>
      </c>
    </row>
    <row r="143" spans="1:20" x14ac:dyDescent="0.25">
      <c r="A143" t="s">
        <v>334</v>
      </c>
      <c r="B143" t="s">
        <v>17</v>
      </c>
      <c r="C143" s="3">
        <v>5</v>
      </c>
      <c r="D143" t="s">
        <v>4</v>
      </c>
      <c r="I143" t="s">
        <v>294</v>
      </c>
      <c r="J143" t="s">
        <v>14</v>
      </c>
      <c r="K143" s="3">
        <v>1</v>
      </c>
      <c r="L143" t="s">
        <v>12</v>
      </c>
    </row>
    <row r="144" spans="1:20" x14ac:dyDescent="0.25">
      <c r="A144" t="s">
        <v>335</v>
      </c>
      <c r="B144" t="s">
        <v>11</v>
      </c>
      <c r="C144" s="3">
        <v>8</v>
      </c>
      <c r="D144" t="s">
        <v>12</v>
      </c>
      <c r="I144" t="s">
        <v>295</v>
      </c>
      <c r="J144" t="s">
        <v>17</v>
      </c>
      <c r="K144" s="3">
        <v>1</v>
      </c>
      <c r="L144" t="s">
        <v>4</v>
      </c>
    </row>
    <row r="145" spans="1:12" x14ac:dyDescent="0.25">
      <c r="A145" t="s">
        <v>347</v>
      </c>
      <c r="B145" t="s">
        <v>14</v>
      </c>
      <c r="C145" s="3">
        <v>1</v>
      </c>
      <c r="D145" t="s">
        <v>12</v>
      </c>
      <c r="I145" t="s">
        <v>312</v>
      </c>
      <c r="J145" t="s">
        <v>14</v>
      </c>
      <c r="K145" s="3">
        <v>1</v>
      </c>
      <c r="L145" t="s">
        <v>12</v>
      </c>
    </row>
    <row r="146" spans="1:12" x14ac:dyDescent="0.25">
      <c r="A146" t="s">
        <v>348</v>
      </c>
      <c r="B146" t="s">
        <v>17</v>
      </c>
      <c r="C146" s="3">
        <v>1</v>
      </c>
      <c r="D146" t="s">
        <v>4</v>
      </c>
      <c r="I146" t="s">
        <v>313</v>
      </c>
      <c r="J146" t="s">
        <v>14</v>
      </c>
      <c r="K146" s="3">
        <v>1</v>
      </c>
      <c r="L146" t="s">
        <v>12</v>
      </c>
    </row>
    <row r="147" spans="1:12" x14ac:dyDescent="0.25">
      <c r="A147" t="s">
        <v>349</v>
      </c>
      <c r="B147" t="s">
        <v>14</v>
      </c>
      <c r="C147" s="3">
        <v>1</v>
      </c>
      <c r="D147" t="s">
        <v>12</v>
      </c>
      <c r="I147" t="s">
        <v>314</v>
      </c>
      <c r="J147" t="s">
        <v>14</v>
      </c>
      <c r="K147" s="3">
        <v>1</v>
      </c>
      <c r="L147" t="s">
        <v>12</v>
      </c>
    </row>
    <row r="148" spans="1:12" x14ac:dyDescent="0.25">
      <c r="A148" t="s">
        <v>350</v>
      </c>
      <c r="B148" t="s">
        <v>14</v>
      </c>
      <c r="C148" s="3">
        <v>1</v>
      </c>
      <c r="D148" t="s">
        <v>12</v>
      </c>
      <c r="I148" t="s">
        <v>325</v>
      </c>
      <c r="J148" t="s">
        <v>11</v>
      </c>
      <c r="K148" s="3">
        <v>8</v>
      </c>
      <c r="L148" t="s">
        <v>12</v>
      </c>
    </row>
    <row r="149" spans="1:12" x14ac:dyDescent="0.25">
      <c r="A149" t="s">
        <v>351</v>
      </c>
      <c r="B149" t="s">
        <v>14</v>
      </c>
      <c r="C149" s="3">
        <v>1</v>
      </c>
      <c r="D149" t="s">
        <v>12</v>
      </c>
      <c r="I149" t="s">
        <v>360</v>
      </c>
      <c r="J149" t="s">
        <v>14</v>
      </c>
      <c r="K149" s="3">
        <v>1</v>
      </c>
      <c r="L149" t="s">
        <v>12</v>
      </c>
    </row>
    <row r="150" spans="1:12" x14ac:dyDescent="0.25">
      <c r="A150" t="s">
        <v>310</v>
      </c>
      <c r="B150" t="s">
        <v>14</v>
      </c>
      <c r="C150" s="3">
        <v>1</v>
      </c>
      <c r="D150" t="s">
        <v>12</v>
      </c>
      <c r="I150" t="s">
        <v>315</v>
      </c>
      <c r="J150" t="s">
        <v>11</v>
      </c>
      <c r="K150" s="3">
        <v>8</v>
      </c>
      <c r="L150" t="s">
        <v>12</v>
      </c>
    </row>
    <row r="151" spans="1:12" x14ac:dyDescent="0.25">
      <c r="A151" t="s">
        <v>311</v>
      </c>
      <c r="B151" t="s">
        <v>14</v>
      </c>
      <c r="C151" s="3">
        <v>1</v>
      </c>
      <c r="D151" t="s">
        <v>12</v>
      </c>
      <c r="I151" t="s">
        <v>316</v>
      </c>
      <c r="J151" t="s">
        <v>17</v>
      </c>
      <c r="K151" s="3">
        <v>1</v>
      </c>
      <c r="L151" t="s">
        <v>4</v>
      </c>
    </row>
    <row r="152" spans="1:12" x14ac:dyDescent="0.25">
      <c r="A152" t="s">
        <v>352</v>
      </c>
      <c r="B152" t="s">
        <v>11</v>
      </c>
      <c r="C152" s="3">
        <v>8</v>
      </c>
      <c r="D152" t="s">
        <v>12</v>
      </c>
      <c r="I152" t="s">
        <v>317</v>
      </c>
      <c r="J152" t="s">
        <v>17</v>
      </c>
      <c r="K152" s="3">
        <v>1</v>
      </c>
      <c r="L152" t="s">
        <v>4</v>
      </c>
    </row>
    <row r="153" spans="1:12" x14ac:dyDescent="0.25">
      <c r="A153" t="s">
        <v>353</v>
      </c>
      <c r="B153" t="s">
        <v>14</v>
      </c>
      <c r="C153" s="3">
        <v>1</v>
      </c>
      <c r="D153" t="s">
        <v>12</v>
      </c>
      <c r="I153" t="s">
        <v>318</v>
      </c>
      <c r="J153" t="s">
        <v>17</v>
      </c>
      <c r="K153" s="3">
        <v>1</v>
      </c>
      <c r="L153" t="s">
        <v>4</v>
      </c>
    </row>
    <row r="154" spans="1:12" x14ac:dyDescent="0.25">
      <c r="A154" t="s">
        <v>325</v>
      </c>
      <c r="B154" t="s">
        <v>11</v>
      </c>
      <c r="C154" s="3">
        <v>8</v>
      </c>
      <c r="D154" t="s">
        <v>12</v>
      </c>
      <c r="I154" t="s">
        <v>319</v>
      </c>
      <c r="J154" t="s">
        <v>11</v>
      </c>
      <c r="K154" s="3">
        <v>8</v>
      </c>
      <c r="L154" t="s">
        <v>12</v>
      </c>
    </row>
    <row r="155" spans="1:12" x14ac:dyDescent="0.25">
      <c r="A155" t="s">
        <v>337</v>
      </c>
      <c r="B155" t="s">
        <v>11</v>
      </c>
      <c r="C155" s="3">
        <v>8</v>
      </c>
      <c r="D155" t="s">
        <v>12</v>
      </c>
      <c r="I155" t="s">
        <v>320</v>
      </c>
      <c r="J155" t="s">
        <v>14</v>
      </c>
      <c r="K155" s="3">
        <v>1</v>
      </c>
      <c r="L155" t="s">
        <v>12</v>
      </c>
    </row>
    <row r="156" spans="1:12" x14ac:dyDescent="0.25">
      <c r="A156" t="s">
        <v>336</v>
      </c>
      <c r="B156" t="s">
        <v>14</v>
      </c>
      <c r="C156" s="3">
        <v>1</v>
      </c>
      <c r="D156" t="s">
        <v>12</v>
      </c>
      <c r="I156" t="s">
        <v>331</v>
      </c>
      <c r="J156" t="s">
        <v>14</v>
      </c>
      <c r="K156" s="3">
        <v>1</v>
      </c>
      <c r="L156" t="s">
        <v>12</v>
      </c>
    </row>
    <row r="157" spans="1:12" x14ac:dyDescent="0.25">
      <c r="A157" t="s">
        <v>361</v>
      </c>
      <c r="B157" t="s">
        <v>14</v>
      </c>
      <c r="C157" s="3">
        <v>1</v>
      </c>
      <c r="D157" t="s">
        <v>12</v>
      </c>
      <c r="I157" t="s">
        <v>322</v>
      </c>
      <c r="J157" t="s">
        <v>14</v>
      </c>
      <c r="K157" s="3">
        <v>1</v>
      </c>
      <c r="L157" t="s">
        <v>12</v>
      </c>
    </row>
    <row r="158" spans="1:12" x14ac:dyDescent="0.25">
      <c r="A158" t="s">
        <v>354</v>
      </c>
      <c r="B158" t="s">
        <v>14</v>
      </c>
      <c r="C158" s="3">
        <v>1</v>
      </c>
      <c r="D158" t="s">
        <v>12</v>
      </c>
      <c r="I158" t="s">
        <v>323</v>
      </c>
      <c r="J158" t="s">
        <v>14</v>
      </c>
      <c r="K158" s="3">
        <v>1</v>
      </c>
      <c r="L158" t="s">
        <v>12</v>
      </c>
    </row>
    <row r="159" spans="1:12" x14ac:dyDescent="0.25">
      <c r="A159" t="s">
        <v>355</v>
      </c>
      <c r="B159" t="s">
        <v>14</v>
      </c>
      <c r="C159" s="3">
        <v>1</v>
      </c>
      <c r="D159" t="s">
        <v>12</v>
      </c>
      <c r="I159" t="s">
        <v>324</v>
      </c>
      <c r="J159" t="s">
        <v>9</v>
      </c>
      <c r="K159" s="3">
        <v>4</v>
      </c>
      <c r="L159" t="s">
        <v>12</v>
      </c>
    </row>
    <row r="160" spans="1:12" x14ac:dyDescent="0.25">
      <c r="A160" t="s">
        <v>321</v>
      </c>
      <c r="B160" t="s">
        <v>14</v>
      </c>
      <c r="C160" s="3">
        <v>1</v>
      </c>
      <c r="D160" t="s">
        <v>12</v>
      </c>
      <c r="I160" t="s">
        <v>326</v>
      </c>
      <c r="J160" t="s">
        <v>17</v>
      </c>
      <c r="K160" s="3">
        <v>1</v>
      </c>
      <c r="L160" t="s">
        <v>4</v>
      </c>
    </row>
    <row r="161" spans="1:12" x14ac:dyDescent="0.25">
      <c r="A161" t="s">
        <v>322</v>
      </c>
      <c r="B161" t="s">
        <v>14</v>
      </c>
      <c r="C161" s="3">
        <v>1</v>
      </c>
      <c r="D161" t="s">
        <v>12</v>
      </c>
      <c r="I161" t="s">
        <v>327</v>
      </c>
      <c r="J161" t="s">
        <v>14</v>
      </c>
      <c r="K161" s="3">
        <v>1</v>
      </c>
      <c r="L161" t="s">
        <v>12</v>
      </c>
    </row>
    <row r="162" spans="1:12" x14ac:dyDescent="0.25">
      <c r="A162" t="s">
        <v>356</v>
      </c>
      <c r="B162" t="s">
        <v>14</v>
      </c>
      <c r="C162" s="3">
        <v>1</v>
      </c>
      <c r="D162" t="s">
        <v>12</v>
      </c>
      <c r="I162" t="s">
        <v>328</v>
      </c>
      <c r="J162" t="s">
        <v>14</v>
      </c>
      <c r="K162" s="3">
        <v>1</v>
      </c>
      <c r="L162" t="s">
        <v>12</v>
      </c>
    </row>
    <row r="163" spans="1:12" x14ac:dyDescent="0.25">
      <c r="A163" t="s">
        <v>357</v>
      </c>
      <c r="B163" t="s">
        <v>14</v>
      </c>
      <c r="C163" s="3">
        <v>1</v>
      </c>
      <c r="D163" t="s">
        <v>12</v>
      </c>
      <c r="I163" t="s">
        <v>329</v>
      </c>
      <c r="J163" t="s">
        <v>14</v>
      </c>
      <c r="K163" s="3">
        <v>1</v>
      </c>
      <c r="L163" t="s">
        <v>12</v>
      </c>
    </row>
    <row r="164" spans="1:12" x14ac:dyDescent="0.25">
      <c r="A164" t="s">
        <v>358</v>
      </c>
      <c r="B164" t="s">
        <v>9</v>
      </c>
      <c r="C164" s="3">
        <v>4</v>
      </c>
      <c r="D164" t="s">
        <v>12</v>
      </c>
    </row>
    <row r="165" spans="1:12" x14ac:dyDescent="0.25">
      <c r="A165" t="s">
        <v>326</v>
      </c>
      <c r="B165" t="s">
        <v>17</v>
      </c>
      <c r="C165" s="3">
        <v>1</v>
      </c>
      <c r="D165" t="s">
        <v>4</v>
      </c>
    </row>
    <row r="166" spans="1:12" x14ac:dyDescent="0.25">
      <c r="A166" t="s">
        <v>327</v>
      </c>
      <c r="B166" t="s">
        <v>14</v>
      </c>
      <c r="C166" s="3">
        <v>1</v>
      </c>
      <c r="D166" t="s">
        <v>12</v>
      </c>
    </row>
    <row r="167" spans="1:12" x14ac:dyDescent="0.25">
      <c r="A167" t="s">
        <v>329</v>
      </c>
      <c r="B167" t="s">
        <v>14</v>
      </c>
      <c r="C167" s="3">
        <v>1</v>
      </c>
      <c r="D167" t="s">
        <v>12</v>
      </c>
      <c r="I167" s="9" t="s">
        <v>333</v>
      </c>
    </row>
    <row r="170" spans="1:12" x14ac:dyDescent="0.25">
      <c r="A170" s="9" t="s">
        <v>359</v>
      </c>
    </row>
  </sheetData>
  <sortState xmlns:xlrd2="http://schemas.microsoft.com/office/spreadsheetml/2017/richdata2" ref="Q126:T136">
    <sortCondition ref="Q126:Q136"/>
  </sortState>
  <mergeCells count="10">
    <mergeCell ref="I2:N2"/>
    <mergeCell ref="Q2:V2"/>
    <mergeCell ref="A84:D84"/>
    <mergeCell ref="A94:D94"/>
    <mergeCell ref="A117:D117"/>
    <mergeCell ref="A2:F2"/>
    <mergeCell ref="Q94:T94"/>
    <mergeCell ref="I94:L94"/>
    <mergeCell ref="I117:L117"/>
    <mergeCell ref="Q117:T117"/>
  </mergeCells>
  <hyperlinks>
    <hyperlink ref="I167" r:id="rId1" xr:uid="{00000000-0004-0000-0200-000000000000}"/>
    <hyperlink ref="A170" r:id="rId2" xr:uid="{00000000-0004-0000-02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453B"/>
    <pageSetUpPr fitToPage="1"/>
  </sheetPr>
  <dimension ref="A1:Y188"/>
  <sheetViews>
    <sheetView zoomScale="80" zoomScaleNormal="80" workbookViewId="0">
      <selection activeCell="C5" sqref="C5"/>
    </sheetView>
  </sheetViews>
  <sheetFormatPr defaultColWidth="9.140625" defaultRowHeight="18.75" x14ac:dyDescent="0.3"/>
  <cols>
    <col min="1" max="1" width="50" style="210" customWidth="1"/>
    <col min="2" max="2" width="2.42578125" style="10" customWidth="1"/>
    <col min="3" max="3" width="14.7109375" style="10" bestFit="1" customWidth="1"/>
    <col min="4" max="4" width="2.85546875" style="10" customWidth="1"/>
    <col min="5" max="5" width="15.42578125" style="10"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5" width="11.85546875" style="10" hidden="1" customWidth="1"/>
    <col min="16" max="18" width="11.28515625" style="10" hidden="1" customWidth="1"/>
    <col min="19" max="19" width="14.7109375" style="10" hidden="1" customWidth="1"/>
    <col min="20" max="20" width="13.42578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48" t="s">
        <v>444</v>
      </c>
      <c r="B1" s="249"/>
      <c r="C1" s="249"/>
      <c r="D1" s="249"/>
      <c r="E1" s="249"/>
      <c r="F1" s="250"/>
      <c r="G1" s="86"/>
    </row>
    <row r="2" spans="1:25" ht="15.75" customHeight="1" x14ac:dyDescent="0.3">
      <c r="A2" s="251"/>
      <c r="B2" s="252"/>
      <c r="C2" s="252"/>
      <c r="D2" s="252"/>
      <c r="E2" s="252"/>
      <c r="F2" s="253"/>
      <c r="G2" s="86"/>
      <c r="T2" s="265" t="s">
        <v>545</v>
      </c>
      <c r="U2" s="266"/>
      <c r="V2" s="266"/>
      <c r="W2" s="266"/>
      <c r="X2" s="266"/>
      <c r="Y2" s="267"/>
    </row>
    <row r="3" spans="1:25" ht="15.75" customHeight="1" thickBot="1" x14ac:dyDescent="0.35">
      <c r="A3" s="254"/>
      <c r="B3" s="255"/>
      <c r="C3" s="255"/>
      <c r="D3" s="255"/>
      <c r="E3" s="255"/>
      <c r="F3" s="256"/>
      <c r="G3" s="86"/>
    </row>
    <row r="4" spans="1:25" ht="19.5" thickBot="1" x14ac:dyDescent="0.35">
      <c r="A4" s="87"/>
      <c r="B4" s="88"/>
      <c r="C4" s="89"/>
      <c r="D4" s="89"/>
      <c r="E4" s="89"/>
      <c r="F4" s="90"/>
      <c r="G4" s="86"/>
      <c r="I4" s="265" t="s">
        <v>418</v>
      </c>
      <c r="J4" s="266"/>
      <c r="K4" s="266"/>
      <c r="L4" s="266"/>
      <c r="M4" s="267"/>
      <c r="U4" s="10" t="s">
        <v>493</v>
      </c>
    </row>
    <row r="5" spans="1:25" ht="21.75" thickBot="1" x14ac:dyDescent="0.35">
      <c r="A5" s="91"/>
      <c r="B5" s="92"/>
      <c r="C5" s="92"/>
      <c r="D5" s="92"/>
      <c r="E5" s="261" t="s">
        <v>552</v>
      </c>
      <c r="F5" s="262"/>
      <c r="G5" s="86"/>
      <c r="I5" s="93" t="s">
        <v>549</v>
      </c>
      <c r="J5" s="94" t="s">
        <v>402</v>
      </c>
      <c r="K5" s="94" t="s">
        <v>403</v>
      </c>
      <c r="L5" s="93"/>
      <c r="M5" s="93" t="s">
        <v>404</v>
      </c>
      <c r="U5" s="95" t="s">
        <v>496</v>
      </c>
    </row>
    <row r="6" spans="1:25" ht="19.5" customHeight="1" x14ac:dyDescent="0.3">
      <c r="A6" s="96" t="s">
        <v>59</v>
      </c>
      <c r="B6" s="97"/>
      <c r="D6" s="98"/>
      <c r="E6" s="268" t="s">
        <v>583</v>
      </c>
      <c r="F6" s="269"/>
      <c r="G6" s="86"/>
      <c r="I6" s="100" t="s">
        <v>60</v>
      </c>
      <c r="J6" s="100" t="s">
        <v>60</v>
      </c>
      <c r="K6" s="100" t="s">
        <v>60</v>
      </c>
      <c r="L6" s="100"/>
      <c r="M6" s="2"/>
    </row>
    <row r="7" spans="1:25" ht="16.5" customHeight="1" x14ac:dyDescent="0.3">
      <c r="A7" s="101" t="s">
        <v>290</v>
      </c>
      <c r="B7" s="102"/>
      <c r="D7" s="98"/>
      <c r="E7" s="103"/>
      <c r="F7" s="99"/>
      <c r="G7" s="86"/>
      <c r="I7" s="35">
        <v>280</v>
      </c>
      <c r="J7" s="36">
        <v>80000</v>
      </c>
      <c r="K7" s="36">
        <v>29400</v>
      </c>
      <c r="L7" s="100"/>
      <c r="M7" s="45">
        <f>I7/J7*K7</f>
        <v>102.9</v>
      </c>
      <c r="U7" s="10" t="s">
        <v>494</v>
      </c>
    </row>
    <row r="8" spans="1:25" ht="16.5" customHeight="1" x14ac:dyDescent="0.3">
      <c r="A8" s="104" t="s">
        <v>550</v>
      </c>
      <c r="B8" s="105"/>
      <c r="C8" s="106"/>
      <c r="D8" s="107"/>
      <c r="E8" s="67">
        <v>4.3499999999999996</v>
      </c>
      <c r="F8" s="30"/>
      <c r="G8" s="108"/>
      <c r="U8" s="95" t="s">
        <v>495</v>
      </c>
    </row>
    <row r="9" spans="1:25" ht="16.5" customHeight="1" x14ac:dyDescent="0.3">
      <c r="A9" s="109" t="s">
        <v>551</v>
      </c>
      <c r="B9" s="105"/>
      <c r="C9" s="110"/>
      <c r="D9" s="111"/>
      <c r="E9" s="68">
        <v>165</v>
      </c>
      <c r="F9" s="99" t="s">
        <v>391</v>
      </c>
      <c r="G9" s="112"/>
    </row>
    <row r="10" spans="1:25" ht="16.5" customHeight="1" x14ac:dyDescent="0.3">
      <c r="A10" s="104" t="s">
        <v>54</v>
      </c>
      <c r="B10" s="105"/>
      <c r="C10" s="110"/>
      <c r="D10" s="111"/>
      <c r="E10" s="71">
        <v>1</v>
      </c>
      <c r="F10" s="99" t="s">
        <v>54</v>
      </c>
      <c r="G10" s="113"/>
      <c r="I10" s="265" t="s">
        <v>407</v>
      </c>
      <c r="J10" s="266"/>
      <c r="K10" s="266"/>
      <c r="L10" s="266"/>
      <c r="M10" s="267"/>
      <c r="U10" s="263" t="s">
        <v>501</v>
      </c>
      <c r="V10" s="264"/>
      <c r="W10" s="264"/>
      <c r="X10" s="264"/>
      <c r="Y10" s="264"/>
    </row>
    <row r="11" spans="1:25" ht="16.5" hidden="1" customHeight="1" x14ac:dyDescent="0.3">
      <c r="A11" s="104"/>
      <c r="B11" s="114"/>
      <c r="C11" s="110"/>
      <c r="D11" s="111"/>
      <c r="E11" s="115"/>
      <c r="F11" s="99"/>
      <c r="G11" s="113"/>
      <c r="U11" s="264"/>
      <c r="V11" s="264"/>
      <c r="W11" s="264"/>
      <c r="X11" s="264"/>
      <c r="Y11" s="264"/>
    </row>
    <row r="12" spans="1:25" ht="16.5" hidden="1" customHeight="1" x14ac:dyDescent="0.3">
      <c r="A12" s="116" t="s">
        <v>371</v>
      </c>
      <c r="B12" s="117"/>
      <c r="C12" s="118"/>
      <c r="D12" s="119"/>
      <c r="E12" s="120">
        <v>0</v>
      </c>
      <c r="F12" s="121"/>
      <c r="G12" s="122"/>
      <c r="U12" s="264"/>
      <c r="V12" s="264"/>
      <c r="W12" s="264"/>
      <c r="X12" s="264"/>
      <c r="Y12" s="264"/>
    </row>
    <row r="13" spans="1:25" ht="16.5" customHeight="1" x14ac:dyDescent="0.3">
      <c r="A13" s="104"/>
      <c r="B13" s="123"/>
      <c r="C13" s="124"/>
      <c r="D13" s="125"/>
      <c r="E13" s="126"/>
      <c r="F13" s="99"/>
      <c r="G13" s="113"/>
      <c r="U13" s="264"/>
      <c r="V13" s="264"/>
      <c r="W13" s="264"/>
      <c r="X13" s="264"/>
      <c r="Y13" s="264"/>
    </row>
    <row r="14" spans="1:25" ht="16.5" customHeight="1" x14ac:dyDescent="0.3">
      <c r="A14" s="257" t="s">
        <v>291</v>
      </c>
      <c r="B14" s="259"/>
      <c r="C14" s="124"/>
      <c r="D14" s="128"/>
      <c r="E14" s="129" t="s">
        <v>35</v>
      </c>
      <c r="F14" s="130"/>
      <c r="G14" s="131"/>
      <c r="I14" s="132" t="s">
        <v>424</v>
      </c>
      <c r="J14" s="132" t="s">
        <v>425</v>
      </c>
      <c r="K14" s="132" t="s">
        <v>434</v>
      </c>
      <c r="L14" s="132" t="s">
        <v>432</v>
      </c>
      <c r="M14" s="93" t="s">
        <v>404</v>
      </c>
    </row>
    <row r="15" spans="1:25" ht="16.5" customHeight="1" thickBot="1" x14ac:dyDescent="0.35">
      <c r="A15" s="258"/>
      <c r="B15" s="260"/>
      <c r="C15" s="34"/>
      <c r="D15" s="33"/>
      <c r="E15" s="24">
        <f>(E8*E9)+E12</f>
        <v>717.74999999999989</v>
      </c>
      <c r="F15" s="31"/>
      <c r="G15" s="29"/>
      <c r="I15" s="132"/>
      <c r="J15" s="100" t="s">
        <v>60</v>
      </c>
      <c r="K15" s="132"/>
      <c r="L15" s="100" t="s">
        <v>60</v>
      </c>
      <c r="M15" s="93"/>
      <c r="U15" s="272" t="s">
        <v>453</v>
      </c>
      <c r="V15" s="273"/>
      <c r="W15" s="273"/>
      <c r="X15" s="273"/>
      <c r="Y15" s="274"/>
    </row>
    <row r="16" spans="1:25" ht="16.5" customHeight="1" thickTop="1" x14ac:dyDescent="0.3">
      <c r="A16" s="104"/>
      <c r="B16" s="105"/>
      <c r="C16" s="133" t="s">
        <v>445</v>
      </c>
      <c r="D16" s="133"/>
      <c r="E16" s="134"/>
      <c r="F16" s="135"/>
      <c r="G16" s="112"/>
      <c r="I16" s="136" t="s">
        <v>578</v>
      </c>
      <c r="J16" s="35">
        <v>513</v>
      </c>
      <c r="K16" s="37" t="s">
        <v>3</v>
      </c>
      <c r="L16" s="36">
        <v>31</v>
      </c>
      <c r="M16" s="39">
        <f>'Fertilizer (Base)'!J5</f>
        <v>84.842505000000003</v>
      </c>
      <c r="U16" s="10" t="s">
        <v>454</v>
      </c>
      <c r="Y16" s="54" t="s">
        <v>455</v>
      </c>
    </row>
    <row r="17" spans="1:25" ht="16.5" customHeight="1" x14ac:dyDescent="0.3">
      <c r="A17" s="137" t="s">
        <v>252</v>
      </c>
      <c r="B17" s="138"/>
      <c r="C17" s="139" t="s">
        <v>392</v>
      </c>
      <c r="D17" s="133"/>
      <c r="E17" s="140"/>
      <c r="F17" s="141"/>
      <c r="G17" s="112"/>
      <c r="I17" s="136" t="s">
        <v>576</v>
      </c>
      <c r="J17" s="35">
        <v>1100</v>
      </c>
      <c r="K17" s="37" t="s">
        <v>435</v>
      </c>
      <c r="L17" s="36">
        <v>0</v>
      </c>
      <c r="M17" s="39">
        <f>'Fertilizer (Base)'!J6</f>
        <v>0</v>
      </c>
      <c r="T17" s="54"/>
      <c r="U17" s="37" t="s">
        <v>51</v>
      </c>
      <c r="V17" s="37" t="s">
        <v>52</v>
      </c>
      <c r="W17" s="37" t="s">
        <v>442</v>
      </c>
      <c r="X17" s="37" t="s">
        <v>53</v>
      </c>
      <c r="Y17" s="100" t="s">
        <v>477</v>
      </c>
    </row>
    <row r="18" spans="1:25" ht="16.5" customHeight="1" x14ac:dyDescent="0.3">
      <c r="A18" s="142" t="s">
        <v>372</v>
      </c>
      <c r="B18" s="138"/>
      <c r="C18" s="139" t="s">
        <v>393</v>
      </c>
      <c r="D18" s="133"/>
      <c r="E18" s="143" t="s">
        <v>35</v>
      </c>
      <c r="F18" s="144"/>
      <c r="G18" s="112"/>
      <c r="I18" s="136" t="s">
        <v>451</v>
      </c>
      <c r="J18" s="35">
        <v>550</v>
      </c>
      <c r="K18" s="37" t="s">
        <v>3</v>
      </c>
      <c r="L18" s="36">
        <v>0</v>
      </c>
      <c r="M18" s="39">
        <f>'Fertilizer (Base)'!J7</f>
        <v>0</v>
      </c>
      <c r="T18" s="100" t="s">
        <v>478</v>
      </c>
      <c r="U18" s="60">
        <v>0</v>
      </c>
      <c r="V18" s="60">
        <v>0</v>
      </c>
      <c r="W18" s="60">
        <v>0</v>
      </c>
      <c r="X18" s="60">
        <v>0</v>
      </c>
      <c r="Y18" s="61" t="s">
        <v>464</v>
      </c>
    </row>
    <row r="19" spans="1:25" ht="16.5" customHeight="1" x14ac:dyDescent="0.3">
      <c r="A19" s="127" t="s">
        <v>36</v>
      </c>
      <c r="B19" s="105"/>
      <c r="C19" s="74" t="s">
        <v>554</v>
      </c>
      <c r="D19" s="26"/>
      <c r="E19" s="145">
        <f>M7</f>
        <v>102.9</v>
      </c>
      <c r="F19" s="32">
        <f t="shared" ref="F19:F39" si="0">E19</f>
        <v>102.9</v>
      </c>
      <c r="G19" s="131"/>
      <c r="I19" s="37" t="s">
        <v>426</v>
      </c>
      <c r="J19" s="35">
        <v>853</v>
      </c>
      <c r="K19" s="37" t="s">
        <v>435</v>
      </c>
      <c r="L19" s="36">
        <v>0</v>
      </c>
      <c r="M19" s="39">
        <f>'Fertilizer (Base)'!J4</f>
        <v>0</v>
      </c>
      <c r="T19" s="146" t="s">
        <v>482</v>
      </c>
      <c r="U19" s="147">
        <f>Manure!G8</f>
        <v>0</v>
      </c>
      <c r="V19" s="147">
        <f>Manure!H8</f>
        <v>0</v>
      </c>
      <c r="W19" s="147">
        <f>Manure!I8</f>
        <v>0</v>
      </c>
      <c r="X19" s="147">
        <f>Manure!J8</f>
        <v>0</v>
      </c>
      <c r="Y19" s="10" t="s">
        <v>457</v>
      </c>
    </row>
    <row r="20" spans="1:25" ht="16.5" customHeight="1" x14ac:dyDescent="0.3">
      <c r="A20" s="104" t="s">
        <v>37</v>
      </c>
      <c r="B20" s="114"/>
      <c r="C20" s="74" t="s">
        <v>555</v>
      </c>
      <c r="D20" s="26"/>
      <c r="E20" s="145">
        <f>M34</f>
        <v>166.09950500000002</v>
      </c>
      <c r="F20" s="32">
        <f t="shared" si="0"/>
        <v>166.09950500000002</v>
      </c>
      <c r="G20" s="29"/>
      <c r="I20" s="37" t="s">
        <v>405</v>
      </c>
      <c r="J20" s="35">
        <v>857</v>
      </c>
      <c r="K20" s="37" t="s">
        <v>435</v>
      </c>
      <c r="L20" s="36">
        <v>82</v>
      </c>
      <c r="M20" s="39">
        <f>'Fertilizer (Base)'!J9+'Fertilizer (Base)'!J15</f>
        <v>35.137</v>
      </c>
    </row>
    <row r="21" spans="1:25" ht="16.5" customHeight="1" x14ac:dyDescent="0.3">
      <c r="A21" s="104" t="s">
        <v>257</v>
      </c>
      <c r="B21" s="114"/>
      <c r="C21" s="74" t="s">
        <v>556</v>
      </c>
      <c r="D21" s="26"/>
      <c r="E21" s="148">
        <f>M78</f>
        <v>57.852499999999999</v>
      </c>
      <c r="F21" s="32">
        <f t="shared" si="0"/>
        <v>57.852499999999999</v>
      </c>
      <c r="G21" s="29"/>
      <c r="I21" s="37" t="s">
        <v>427</v>
      </c>
      <c r="J21" s="35">
        <v>894</v>
      </c>
      <c r="K21" s="37" t="s">
        <v>435</v>
      </c>
      <c r="L21" s="36">
        <v>0</v>
      </c>
      <c r="M21" s="39">
        <f>'Fertilizer (Base)'!J10+'Fertilizer (Base)'!J16</f>
        <v>0</v>
      </c>
      <c r="U21" s="10" t="s">
        <v>458</v>
      </c>
      <c r="Y21" s="54" t="s">
        <v>455</v>
      </c>
    </row>
    <row r="22" spans="1:25" ht="16.5" customHeight="1" x14ac:dyDescent="0.3">
      <c r="A22" s="104" t="s">
        <v>41</v>
      </c>
      <c r="B22" s="105"/>
      <c r="C22" s="74" t="s">
        <v>557</v>
      </c>
      <c r="D22" s="26"/>
      <c r="E22" s="69">
        <v>27</v>
      </c>
      <c r="F22" s="32">
        <f t="shared" si="0"/>
        <v>27</v>
      </c>
      <c r="G22" s="29"/>
      <c r="I22" s="37" t="s">
        <v>488</v>
      </c>
      <c r="J22" s="35">
        <v>700</v>
      </c>
      <c r="K22" s="37" t="s">
        <v>3</v>
      </c>
      <c r="L22" s="36">
        <v>5</v>
      </c>
      <c r="M22" s="39">
        <f>'Fertilizer (Base)'!J8</f>
        <v>20.474999999999998</v>
      </c>
      <c r="O22" s="149">
        <f>J25/2000</f>
        <v>0.33750000000000002</v>
      </c>
      <c r="P22" s="149">
        <f>O22*L25</f>
        <v>11.8125</v>
      </c>
      <c r="U22" s="37" t="s">
        <v>51</v>
      </c>
      <c r="V22" s="37" t="s">
        <v>52</v>
      </c>
      <c r="W22" s="37" t="s">
        <v>442</v>
      </c>
      <c r="X22" s="37" t="s">
        <v>53</v>
      </c>
      <c r="Y22" s="100" t="s">
        <v>477</v>
      </c>
    </row>
    <row r="23" spans="1:25" ht="16.5" customHeight="1" x14ac:dyDescent="0.3">
      <c r="A23" s="104" t="s">
        <v>397</v>
      </c>
      <c r="B23" s="105"/>
      <c r="C23" s="74" t="s">
        <v>398</v>
      </c>
      <c r="D23" s="26"/>
      <c r="E23" s="69">
        <v>2</v>
      </c>
      <c r="F23" s="32">
        <f t="shared" si="0"/>
        <v>2</v>
      </c>
      <c r="G23" s="29"/>
      <c r="I23" s="37" t="s">
        <v>406</v>
      </c>
      <c r="J23" s="35">
        <v>503</v>
      </c>
      <c r="K23" s="37" t="s">
        <v>435</v>
      </c>
      <c r="L23" s="36">
        <v>55</v>
      </c>
      <c r="M23" s="39">
        <f>'Fertilizer (Base)'!J17</f>
        <v>13.8325</v>
      </c>
      <c r="O23" s="2"/>
      <c r="T23" s="100" t="s">
        <v>478</v>
      </c>
      <c r="U23" s="60">
        <v>0</v>
      </c>
      <c r="V23" s="60">
        <v>0</v>
      </c>
      <c r="W23" s="60">
        <v>0</v>
      </c>
      <c r="X23" s="60">
        <v>0</v>
      </c>
      <c r="Y23" s="61" t="s">
        <v>464</v>
      </c>
    </row>
    <row r="24" spans="1:25" ht="16.5" customHeight="1" x14ac:dyDescent="0.3">
      <c r="A24" s="104" t="s">
        <v>396</v>
      </c>
      <c r="B24" s="105"/>
      <c r="C24" s="74" t="s">
        <v>558</v>
      </c>
      <c r="D24" s="26"/>
      <c r="E24" s="69">
        <v>16</v>
      </c>
      <c r="F24" s="32">
        <f t="shared" si="0"/>
        <v>16</v>
      </c>
      <c r="G24" s="29"/>
      <c r="I24" s="37" t="s">
        <v>487</v>
      </c>
      <c r="J24" s="35">
        <v>0</v>
      </c>
      <c r="K24" s="37" t="s">
        <v>435</v>
      </c>
      <c r="L24" s="36">
        <v>0</v>
      </c>
      <c r="M24" s="39">
        <f>'Fertilizer (Base)'!J18</f>
        <v>0</v>
      </c>
      <c r="T24" s="150" t="s">
        <v>483</v>
      </c>
      <c r="U24" s="147">
        <f>Manure!G10</f>
        <v>0</v>
      </c>
      <c r="V24" s="147">
        <f>Manure!H10</f>
        <v>0</v>
      </c>
      <c r="W24" s="147">
        <f>Manure!I10</f>
        <v>0</v>
      </c>
      <c r="X24" s="147">
        <f>Manure!J10</f>
        <v>0</v>
      </c>
      <c r="Y24" s="10" t="s">
        <v>457</v>
      </c>
    </row>
    <row r="25" spans="1:25" ht="16.5" customHeight="1" x14ac:dyDescent="0.3">
      <c r="A25" s="104" t="s">
        <v>43</v>
      </c>
      <c r="B25" s="114"/>
      <c r="C25" s="74" t="s">
        <v>559</v>
      </c>
      <c r="D25" s="26"/>
      <c r="E25" s="70">
        <v>35</v>
      </c>
      <c r="F25" s="32">
        <f t="shared" si="0"/>
        <v>35</v>
      </c>
      <c r="G25" s="29"/>
      <c r="I25" s="37" t="s">
        <v>452</v>
      </c>
      <c r="J25" s="35">
        <v>675</v>
      </c>
      <c r="K25" s="37" t="s">
        <v>435</v>
      </c>
      <c r="L25" s="36">
        <v>35</v>
      </c>
      <c r="M25" s="40">
        <f>'Fertilizer (Base)'!J11+'Fertilizer (Base)'!J20</f>
        <v>11.8125</v>
      </c>
    </row>
    <row r="26" spans="1:25" ht="16.5" customHeight="1" x14ac:dyDescent="0.3">
      <c r="A26" s="104" t="s">
        <v>46</v>
      </c>
      <c r="B26" s="114"/>
      <c r="C26" s="74" t="s">
        <v>560</v>
      </c>
      <c r="D26" s="26"/>
      <c r="E26" s="70">
        <v>55</v>
      </c>
      <c r="F26" s="32">
        <f t="shared" si="0"/>
        <v>55</v>
      </c>
      <c r="G26" s="29"/>
      <c r="I26" s="37" t="s">
        <v>489</v>
      </c>
      <c r="J26" s="35">
        <v>0</v>
      </c>
      <c r="K26" s="37" t="s">
        <v>435</v>
      </c>
      <c r="L26" s="36">
        <v>0</v>
      </c>
      <c r="M26" s="39">
        <f>'Fertilizer (Base)'!J21</f>
        <v>0</v>
      </c>
      <c r="U26" s="263" t="s">
        <v>476</v>
      </c>
      <c r="V26" s="263"/>
      <c r="W26" s="263"/>
      <c r="X26" s="263"/>
      <c r="Y26" s="263"/>
    </row>
    <row r="27" spans="1:25" ht="16.5" customHeight="1" x14ac:dyDescent="0.3">
      <c r="A27" s="104" t="s">
        <v>38</v>
      </c>
      <c r="B27" s="114"/>
      <c r="C27" s="74" t="s">
        <v>561</v>
      </c>
      <c r="D27" s="26"/>
      <c r="E27" s="70">
        <v>15</v>
      </c>
      <c r="F27" s="32">
        <f t="shared" si="0"/>
        <v>15</v>
      </c>
      <c r="G27" s="29"/>
      <c r="I27" s="37" t="s">
        <v>492</v>
      </c>
      <c r="J27" s="35">
        <v>55</v>
      </c>
      <c r="K27" s="37" t="s">
        <v>481</v>
      </c>
      <c r="L27" s="36">
        <v>0</v>
      </c>
      <c r="M27" s="39">
        <f>J27*L27</f>
        <v>0</v>
      </c>
      <c r="U27" s="263"/>
      <c r="V27" s="263"/>
      <c r="W27" s="263"/>
      <c r="X27" s="263"/>
      <c r="Y27" s="263"/>
    </row>
    <row r="28" spans="1:25" ht="16.5" customHeight="1" x14ac:dyDescent="0.3">
      <c r="A28" s="104" t="s">
        <v>390</v>
      </c>
      <c r="B28" s="105"/>
      <c r="C28" s="74" t="s">
        <v>562</v>
      </c>
      <c r="D28" s="26"/>
      <c r="E28" s="70">
        <v>8</v>
      </c>
      <c r="F28" s="32">
        <f t="shared" si="0"/>
        <v>8</v>
      </c>
      <c r="G28" s="29"/>
      <c r="I28" s="37" t="s">
        <v>463</v>
      </c>
      <c r="J28" s="35">
        <v>50</v>
      </c>
      <c r="K28" s="37" t="s">
        <v>481</v>
      </c>
      <c r="L28" s="36">
        <v>0</v>
      </c>
      <c r="M28" s="39">
        <f>J28*L28</f>
        <v>0</v>
      </c>
    </row>
    <row r="29" spans="1:25" ht="16.5" customHeight="1" x14ac:dyDescent="0.3">
      <c r="A29" s="104" t="s">
        <v>42</v>
      </c>
      <c r="B29" s="105"/>
      <c r="C29" s="74" t="s">
        <v>401</v>
      </c>
      <c r="D29" s="26"/>
      <c r="E29" s="70">
        <v>3</v>
      </c>
      <c r="F29" s="32">
        <f t="shared" si="0"/>
        <v>3</v>
      </c>
      <c r="G29" s="29"/>
      <c r="I29" s="37" t="s">
        <v>479</v>
      </c>
      <c r="J29" s="35">
        <v>0.01</v>
      </c>
      <c r="K29" s="37" t="s">
        <v>480</v>
      </c>
      <c r="L29" s="63">
        <v>0</v>
      </c>
      <c r="M29" s="46">
        <f>J29*L29*1000</f>
        <v>0</v>
      </c>
      <c r="U29" s="151" t="s">
        <v>473</v>
      </c>
      <c r="V29" s="151"/>
      <c r="W29" s="151"/>
      <c r="X29" s="151"/>
    </row>
    <row r="30" spans="1:25" ht="16.5" customHeight="1" x14ac:dyDescent="0.3">
      <c r="A30" s="104" t="s">
        <v>48</v>
      </c>
      <c r="B30" s="105"/>
      <c r="C30" s="74" t="s">
        <v>399</v>
      </c>
      <c r="D30" s="26"/>
      <c r="E30" s="69">
        <v>1.5</v>
      </c>
      <c r="F30" s="32">
        <f t="shared" si="0"/>
        <v>1.5</v>
      </c>
      <c r="G30" s="29"/>
      <c r="U30" s="154" t="s">
        <v>51</v>
      </c>
      <c r="V30" s="154" t="s">
        <v>52</v>
      </c>
      <c r="W30" s="154" t="s">
        <v>442</v>
      </c>
      <c r="X30" s="154" t="s">
        <v>53</v>
      </c>
    </row>
    <row r="31" spans="1:25" ht="16.5" customHeight="1" x14ac:dyDescent="0.3">
      <c r="A31" s="104" t="s">
        <v>49</v>
      </c>
      <c r="B31" s="105"/>
      <c r="C31" s="74" t="s">
        <v>563</v>
      </c>
      <c r="D31" s="26"/>
      <c r="E31" s="70">
        <v>5</v>
      </c>
      <c r="F31" s="32">
        <f t="shared" si="0"/>
        <v>5</v>
      </c>
      <c r="G31" s="29"/>
      <c r="I31" s="132" t="s">
        <v>625</v>
      </c>
      <c r="J31" s="132" t="s">
        <v>627</v>
      </c>
      <c r="K31" s="162"/>
      <c r="L31" s="132" t="s">
        <v>626</v>
      </c>
      <c r="M31" s="93" t="s">
        <v>404</v>
      </c>
      <c r="U31" s="154">
        <v>42</v>
      </c>
      <c r="V31" s="154">
        <v>75</v>
      </c>
      <c r="W31" s="154">
        <v>58</v>
      </c>
      <c r="X31" s="154">
        <v>8</v>
      </c>
    </row>
    <row r="32" spans="1:25" ht="16.5" customHeight="1" x14ac:dyDescent="0.3">
      <c r="A32" s="104" t="s">
        <v>368</v>
      </c>
      <c r="B32" s="105"/>
      <c r="C32" s="74" t="s">
        <v>564</v>
      </c>
      <c r="D32" s="26"/>
      <c r="E32" s="70">
        <v>18</v>
      </c>
      <c r="F32" s="32">
        <f t="shared" si="0"/>
        <v>18</v>
      </c>
      <c r="G32" s="29"/>
      <c r="I32" s="37" t="s">
        <v>168</v>
      </c>
      <c r="J32" s="35">
        <v>10</v>
      </c>
      <c r="K32" s="37"/>
      <c r="L32" s="36">
        <v>0</v>
      </c>
      <c r="M32" s="39">
        <f>J32*L32</f>
        <v>0</v>
      </c>
    </row>
    <row r="33" spans="1:25" ht="16.5" customHeight="1" x14ac:dyDescent="0.3">
      <c r="A33" s="109" t="s">
        <v>511</v>
      </c>
      <c r="B33" s="105"/>
      <c r="C33" s="74" t="s">
        <v>513</v>
      </c>
      <c r="D33" s="26"/>
      <c r="E33" s="70">
        <v>0</v>
      </c>
      <c r="F33" s="32">
        <f t="shared" si="0"/>
        <v>0</v>
      </c>
      <c r="G33" s="29"/>
      <c r="R33" s="10">
        <v>0</v>
      </c>
      <c r="S33" s="10" t="s">
        <v>441</v>
      </c>
      <c r="U33" s="151" t="s">
        <v>474</v>
      </c>
      <c r="V33" s="151"/>
      <c r="W33" s="151"/>
      <c r="X33" s="151"/>
    </row>
    <row r="34" spans="1:25" ht="16.5" customHeight="1" x14ac:dyDescent="0.3">
      <c r="A34" s="109" t="s">
        <v>512</v>
      </c>
      <c r="B34" s="105"/>
      <c r="C34" s="74" t="s">
        <v>514</v>
      </c>
      <c r="D34" s="26"/>
      <c r="E34" s="70">
        <v>0</v>
      </c>
      <c r="F34" s="32">
        <f t="shared" si="0"/>
        <v>0</v>
      </c>
      <c r="G34" s="29"/>
      <c r="L34" s="152" t="s">
        <v>431</v>
      </c>
      <c r="M34" s="153">
        <f>SUM(M16:M32)</f>
        <v>166.09950500000002</v>
      </c>
      <c r="R34" s="158">
        <v>8</v>
      </c>
      <c r="S34" s="159" t="s">
        <v>437</v>
      </c>
      <c r="T34" s="159"/>
      <c r="U34" s="154" t="s">
        <v>51</v>
      </c>
      <c r="V34" s="154" t="s">
        <v>52</v>
      </c>
      <c r="W34" s="154" t="s">
        <v>442</v>
      </c>
      <c r="X34" s="154" t="s">
        <v>53</v>
      </c>
    </row>
    <row r="35" spans="1:25" ht="16.5" customHeight="1" x14ac:dyDescent="0.3">
      <c r="A35" s="109" t="s">
        <v>472</v>
      </c>
      <c r="B35" s="105"/>
      <c r="C35" s="227" t="s">
        <v>565</v>
      </c>
      <c r="D35" s="26"/>
      <c r="E35" s="70">
        <v>14</v>
      </c>
      <c r="F35" s="32">
        <f t="shared" si="0"/>
        <v>14</v>
      </c>
      <c r="G35" s="29"/>
      <c r="M35" s="153"/>
      <c r="R35" s="158">
        <v>16</v>
      </c>
      <c r="S35" s="159" t="s">
        <v>438</v>
      </c>
      <c r="T35" s="159"/>
      <c r="U35" s="154">
        <v>43</v>
      </c>
      <c r="V35" s="154">
        <v>17</v>
      </c>
      <c r="W35" s="154">
        <v>38</v>
      </c>
      <c r="X35" s="154">
        <v>10</v>
      </c>
    </row>
    <row r="36" spans="1:25" ht="16.5" customHeight="1" x14ac:dyDescent="0.3">
      <c r="A36" s="109" t="s">
        <v>366</v>
      </c>
      <c r="B36" s="105"/>
      <c r="C36" s="74" t="s">
        <v>400</v>
      </c>
      <c r="D36" s="26"/>
      <c r="E36" s="70">
        <v>8</v>
      </c>
      <c r="F36" s="32">
        <f t="shared" si="0"/>
        <v>8</v>
      </c>
      <c r="G36" s="29"/>
      <c r="J36" s="155" t="s">
        <v>51</v>
      </c>
      <c r="K36" s="155" t="s">
        <v>52</v>
      </c>
      <c r="L36" s="155" t="s">
        <v>442</v>
      </c>
      <c r="M36" s="155" t="s">
        <v>53</v>
      </c>
      <c r="R36" s="158">
        <v>128</v>
      </c>
      <c r="S36" s="159" t="s">
        <v>439</v>
      </c>
      <c r="T36" s="159"/>
    </row>
    <row r="37" spans="1:25" ht="16.5" customHeight="1" x14ac:dyDescent="0.3">
      <c r="A37" s="72" t="s">
        <v>475</v>
      </c>
      <c r="B37" s="105"/>
      <c r="C37" s="74"/>
      <c r="D37" s="160"/>
      <c r="E37" s="69">
        <v>0</v>
      </c>
      <c r="F37" s="32">
        <f t="shared" si="0"/>
        <v>0</v>
      </c>
      <c r="G37" s="29"/>
      <c r="I37" s="4" t="s">
        <v>581</v>
      </c>
      <c r="J37" s="156">
        <f>'Fertilizer (Base)'!P5+(U19*L28)+(L29*U24)</f>
        <v>120.57559999999999</v>
      </c>
      <c r="K37" s="156">
        <f>'Fertilizer (Base)'!Q5+(V19*L28)+(L29*V24)</f>
        <v>57.61</v>
      </c>
      <c r="L37" s="156">
        <f>'Fertilizer (Base)'!R5+(W19*L28)+(L29*W24)</f>
        <v>33</v>
      </c>
      <c r="M37" s="156">
        <f>'Fertilizer (Base)'!S5+(X19*L28)+(L29*X24)</f>
        <v>8.4</v>
      </c>
      <c r="N37" s="161"/>
      <c r="O37" s="161"/>
      <c r="P37" s="161"/>
      <c r="Q37" s="161"/>
      <c r="R37" s="10">
        <v>4</v>
      </c>
      <c r="S37" s="10" t="s">
        <v>440</v>
      </c>
      <c r="U37" s="270" t="s">
        <v>535</v>
      </c>
      <c r="V37" s="270"/>
      <c r="W37" s="270"/>
      <c r="X37" s="270"/>
      <c r="Y37" s="270"/>
    </row>
    <row r="38" spans="1:25" ht="16.5" customHeight="1" x14ac:dyDescent="0.3">
      <c r="A38" s="72" t="s">
        <v>475</v>
      </c>
      <c r="B38" s="105"/>
      <c r="C38" s="74"/>
      <c r="D38" s="160"/>
      <c r="E38" s="69">
        <v>0</v>
      </c>
      <c r="F38" s="32">
        <f t="shared" si="0"/>
        <v>0</v>
      </c>
      <c r="G38" s="29"/>
      <c r="I38" s="234" t="s">
        <v>588</v>
      </c>
      <c r="J38" s="157"/>
      <c r="K38" s="147"/>
      <c r="L38" s="147"/>
      <c r="M38" s="147"/>
      <c r="U38" s="270"/>
      <c r="V38" s="270"/>
      <c r="W38" s="270"/>
      <c r="X38" s="270"/>
      <c r="Y38" s="270"/>
    </row>
    <row r="39" spans="1:25" ht="16.5" customHeight="1" x14ac:dyDescent="0.3">
      <c r="A39" s="72" t="s">
        <v>475</v>
      </c>
      <c r="B39" s="105"/>
      <c r="C39" s="74"/>
      <c r="D39" s="160"/>
      <c r="E39" s="69">
        <v>0</v>
      </c>
      <c r="F39" s="32">
        <f t="shared" si="0"/>
        <v>0</v>
      </c>
      <c r="G39" s="29"/>
      <c r="U39" s="270"/>
      <c r="V39" s="270"/>
      <c r="W39" s="270"/>
      <c r="X39" s="270"/>
      <c r="Y39" s="270"/>
    </row>
    <row r="40" spans="1:25" ht="16.5" customHeight="1" thickBot="1" x14ac:dyDescent="0.35">
      <c r="A40" s="163" t="s">
        <v>251</v>
      </c>
      <c r="B40" s="164"/>
      <c r="C40" s="18"/>
      <c r="D40" s="22"/>
      <c r="E40" s="23">
        <f>SUM(E19:E39)</f>
        <v>534.35200499999996</v>
      </c>
      <c r="F40" s="165"/>
      <c r="G40" s="29"/>
      <c r="I40" s="265" t="s">
        <v>433</v>
      </c>
      <c r="J40" s="266"/>
      <c r="K40" s="266"/>
      <c r="L40" s="266"/>
      <c r="M40" s="267"/>
      <c r="U40" s="270"/>
      <c r="V40" s="270"/>
      <c r="W40" s="270"/>
      <c r="X40" s="270"/>
      <c r="Y40" s="270"/>
    </row>
    <row r="41" spans="1:25" ht="16.5" customHeight="1" thickTop="1" x14ac:dyDescent="0.3">
      <c r="A41" s="166" t="s">
        <v>370</v>
      </c>
      <c r="B41" s="167"/>
      <c r="C41" s="168"/>
      <c r="D41" s="169"/>
      <c r="E41" s="170">
        <f>E15-E40</f>
        <v>183.39799499999992</v>
      </c>
      <c r="F41" s="171"/>
      <c r="G41" s="29"/>
      <c r="U41" s="270"/>
      <c r="V41" s="270"/>
      <c r="W41" s="270"/>
      <c r="X41" s="270"/>
      <c r="Y41" s="270"/>
    </row>
    <row r="42" spans="1:25" ht="16.5" customHeight="1" x14ac:dyDescent="0.3">
      <c r="A42" s="172"/>
      <c r="B42" s="138"/>
      <c r="C42" s="173"/>
      <c r="D42" s="174"/>
      <c r="E42" s="175"/>
      <c r="F42" s="135"/>
      <c r="G42" s="29"/>
      <c r="I42" s="271" t="s">
        <v>497</v>
      </c>
      <c r="J42" s="271"/>
      <c r="K42" s="271"/>
      <c r="L42" s="271"/>
      <c r="M42" s="271"/>
      <c r="U42" s="270"/>
      <c r="V42" s="270"/>
      <c r="W42" s="270"/>
      <c r="X42" s="270"/>
      <c r="Y42" s="270"/>
    </row>
    <row r="43" spans="1:25" ht="16.5" customHeight="1" x14ac:dyDescent="0.3">
      <c r="A43" s="176" t="s">
        <v>373</v>
      </c>
      <c r="B43" s="138"/>
      <c r="C43" s="173"/>
      <c r="D43" s="174"/>
      <c r="E43" s="143" t="s">
        <v>35</v>
      </c>
      <c r="F43" s="144"/>
      <c r="G43" s="29"/>
      <c r="I43" s="132" t="s">
        <v>424</v>
      </c>
      <c r="J43" s="132" t="s">
        <v>436</v>
      </c>
      <c r="K43" s="162" t="s">
        <v>434</v>
      </c>
      <c r="L43" s="132" t="s">
        <v>432</v>
      </c>
      <c r="M43" s="93" t="s">
        <v>404</v>
      </c>
    </row>
    <row r="44" spans="1:25" ht="16.5" customHeight="1" x14ac:dyDescent="0.3">
      <c r="A44" s="177" t="s">
        <v>256</v>
      </c>
      <c r="B44" s="105"/>
      <c r="C44" s="227" t="s">
        <v>566</v>
      </c>
      <c r="D44" s="160"/>
      <c r="E44" s="70">
        <v>12</v>
      </c>
      <c r="F44" s="32">
        <f t="shared" ref="F44:F50" si="1">E44</f>
        <v>12</v>
      </c>
      <c r="G44" s="29"/>
      <c r="I44" s="100" t="s">
        <v>60</v>
      </c>
      <c r="J44" s="100" t="s">
        <v>60</v>
      </c>
      <c r="K44" s="100" t="s">
        <v>60</v>
      </c>
      <c r="L44" s="100" t="s">
        <v>60</v>
      </c>
      <c r="M44" s="93"/>
      <c r="U44" s="263" t="s">
        <v>628</v>
      </c>
      <c r="V44" s="263"/>
      <c r="W44" s="263"/>
      <c r="X44" s="263"/>
      <c r="Y44" s="263"/>
    </row>
    <row r="45" spans="1:25" ht="16.5" customHeight="1" x14ac:dyDescent="0.3">
      <c r="A45" s="109" t="s">
        <v>169</v>
      </c>
      <c r="B45" s="105"/>
      <c r="C45" s="227" t="s">
        <v>567</v>
      </c>
      <c r="D45" s="160"/>
      <c r="E45" s="70">
        <v>143</v>
      </c>
      <c r="F45" s="32">
        <f t="shared" si="1"/>
        <v>143</v>
      </c>
      <c r="G45" s="29"/>
      <c r="I45" s="36" t="s">
        <v>16</v>
      </c>
      <c r="J45" s="35">
        <v>200</v>
      </c>
      <c r="K45" s="55" t="s">
        <v>439</v>
      </c>
      <c r="L45" s="36">
        <v>20</v>
      </c>
      <c r="M45" s="39">
        <f>IFERROR(J45/(_xlfn.XLOOKUP(K45,$S$33:$S$37,$R$33:$R$37))*L45,0)</f>
        <v>31.25</v>
      </c>
      <c r="U45" s="263"/>
      <c r="V45" s="263"/>
      <c r="W45" s="263"/>
      <c r="X45" s="263"/>
      <c r="Y45" s="263"/>
    </row>
    <row r="46" spans="1:25" ht="16.5" customHeight="1" x14ac:dyDescent="0.3">
      <c r="A46" s="109" t="s">
        <v>471</v>
      </c>
      <c r="B46" s="105"/>
      <c r="C46" s="227" t="s">
        <v>568</v>
      </c>
      <c r="D46" s="160"/>
      <c r="E46" s="70">
        <v>8</v>
      </c>
      <c r="F46" s="32">
        <f t="shared" si="1"/>
        <v>8</v>
      </c>
      <c r="G46" s="29"/>
      <c r="I46" s="36" t="s">
        <v>553</v>
      </c>
      <c r="J46" s="35">
        <v>49</v>
      </c>
      <c r="K46" s="55" t="s">
        <v>440</v>
      </c>
      <c r="L46" s="36">
        <v>1</v>
      </c>
      <c r="M46" s="39">
        <f t="shared" ref="M46" si="2">IFERROR(J46/(_xlfn.XLOOKUP(K46,$S$33:$S$37,$R$33:$R$37))*L46,0)</f>
        <v>12.25</v>
      </c>
      <c r="U46" s="263"/>
      <c r="V46" s="263"/>
      <c r="W46" s="263"/>
      <c r="X46" s="263"/>
      <c r="Y46" s="263"/>
    </row>
    <row r="47" spans="1:25" ht="16.5" customHeight="1" x14ac:dyDescent="0.3">
      <c r="A47" s="109" t="s">
        <v>470</v>
      </c>
      <c r="B47" s="105"/>
      <c r="C47" s="227" t="s">
        <v>569</v>
      </c>
      <c r="D47" s="160"/>
      <c r="E47" s="70">
        <v>55</v>
      </c>
      <c r="F47" s="32">
        <f t="shared" si="1"/>
        <v>55</v>
      </c>
      <c r="G47" s="29"/>
      <c r="I47" s="36" t="s">
        <v>584</v>
      </c>
      <c r="J47" s="35">
        <v>31.98</v>
      </c>
      <c r="K47" s="55" t="s">
        <v>439</v>
      </c>
      <c r="L47" s="36">
        <v>20</v>
      </c>
      <c r="M47" s="39">
        <f>IFERROR(J47/(_xlfn.XLOOKUP(K47,$S$33:$S$37,$R$33:$R$37))*L47,0)</f>
        <v>4.9968750000000002</v>
      </c>
    </row>
    <row r="48" spans="1:25" ht="16.5" customHeight="1" x14ac:dyDescent="0.3">
      <c r="A48" s="109" t="s">
        <v>366</v>
      </c>
      <c r="B48" s="105"/>
      <c r="C48" s="227" t="s">
        <v>400</v>
      </c>
      <c r="D48" s="160"/>
      <c r="E48" s="69">
        <v>6</v>
      </c>
      <c r="F48" s="32">
        <f t="shared" si="1"/>
        <v>6</v>
      </c>
      <c r="G48" s="29"/>
      <c r="I48" s="36" t="s">
        <v>366</v>
      </c>
      <c r="J48" s="35">
        <v>0</v>
      </c>
      <c r="K48" s="55" t="s">
        <v>441</v>
      </c>
      <c r="L48" s="36">
        <v>0</v>
      </c>
      <c r="M48" s="39">
        <f>IFERROR(J48/(_xlfn.XLOOKUP(K48,$S$33:$S$37,$R$33:$R$37))*L48,0)</f>
        <v>0</v>
      </c>
    </row>
    <row r="49" spans="1:15" ht="16.5" customHeight="1" x14ac:dyDescent="0.3">
      <c r="A49" s="72" t="s">
        <v>475</v>
      </c>
      <c r="B49" s="105"/>
      <c r="C49" s="74"/>
      <c r="D49" s="160"/>
      <c r="E49" s="69">
        <v>0</v>
      </c>
      <c r="F49" s="32">
        <f t="shared" si="1"/>
        <v>0</v>
      </c>
      <c r="G49" s="29"/>
      <c r="I49" s="36" t="s">
        <v>366</v>
      </c>
      <c r="J49" s="35">
        <v>0</v>
      </c>
      <c r="K49" s="55" t="s">
        <v>441</v>
      </c>
      <c r="L49" s="36">
        <v>0</v>
      </c>
      <c r="M49" s="39">
        <f>IFERROR(J49/(_xlfn.XLOOKUP(K49,$S$33:$S$37,$R$33:$R$37))*L49,0)</f>
        <v>0</v>
      </c>
    </row>
    <row r="50" spans="1:15" ht="16.5" customHeight="1" x14ac:dyDescent="0.3">
      <c r="A50" s="73" t="s">
        <v>475</v>
      </c>
      <c r="B50" s="105"/>
      <c r="C50" s="74"/>
      <c r="D50" s="160"/>
      <c r="E50" s="69">
        <v>0</v>
      </c>
      <c r="F50" s="32">
        <f t="shared" si="1"/>
        <v>0</v>
      </c>
      <c r="G50" s="29"/>
    </row>
    <row r="51" spans="1:15" ht="16.5" customHeight="1" x14ac:dyDescent="0.3">
      <c r="A51" s="178" t="s">
        <v>375</v>
      </c>
      <c r="B51" s="179"/>
      <c r="C51" s="19"/>
      <c r="D51" s="26"/>
      <c r="E51" s="62">
        <f>SUM(E44:E50)</f>
        <v>224</v>
      </c>
      <c r="F51" s="32">
        <f>E50</f>
        <v>0</v>
      </c>
      <c r="G51" s="29"/>
      <c r="I51" s="10" t="s">
        <v>32</v>
      </c>
      <c r="J51" s="35">
        <v>28.86</v>
      </c>
      <c r="K51" s="55" t="s">
        <v>438</v>
      </c>
      <c r="L51" s="36">
        <v>1.5</v>
      </c>
      <c r="M51" s="39">
        <f>IFERROR(J51/(_xlfn.XLOOKUP(K51,$S$33:$S$37,$R$33:$R$37))*L51,0)</f>
        <v>2.7056249999999999</v>
      </c>
    </row>
    <row r="52" spans="1:15" ht="16.5" customHeight="1" thickBot="1" x14ac:dyDescent="0.35">
      <c r="A52" s="180" t="s">
        <v>376</v>
      </c>
      <c r="B52" s="164"/>
      <c r="C52" s="20"/>
      <c r="D52" s="22"/>
      <c r="E52" s="25">
        <f>E40+E51</f>
        <v>758.35200499999996</v>
      </c>
      <c r="F52" s="165"/>
      <c r="G52" s="17"/>
      <c r="I52" s="10" t="s">
        <v>67</v>
      </c>
      <c r="J52" s="35">
        <v>0</v>
      </c>
      <c r="K52" s="55" t="s">
        <v>441</v>
      </c>
      <c r="L52" s="36">
        <v>0</v>
      </c>
      <c r="M52" s="39">
        <f t="shared" ref="M52:M55" si="3">IFERROR(J52/(_xlfn.XLOOKUP(K52,$S$33:$S$37,$R$33:$R$37))*L52,0)</f>
        <v>0</v>
      </c>
    </row>
    <row r="53" spans="1:15" ht="16.5" customHeight="1" thickTop="1" x14ac:dyDescent="0.3">
      <c r="A53" s="181" t="s">
        <v>388</v>
      </c>
      <c r="B53" s="167"/>
      <c r="C53" s="182"/>
      <c r="D53" s="128"/>
      <c r="E53" s="183">
        <f>E15-E52</f>
        <v>-40.602005000000077</v>
      </c>
      <c r="F53" s="171"/>
      <c r="G53" s="17"/>
      <c r="I53" s="10" t="s">
        <v>70</v>
      </c>
      <c r="J53" s="35">
        <v>0</v>
      </c>
      <c r="K53" s="55" t="s">
        <v>441</v>
      </c>
      <c r="L53" s="36">
        <v>0</v>
      </c>
      <c r="M53" s="39">
        <f t="shared" si="3"/>
        <v>0</v>
      </c>
      <c r="N53" s="161"/>
    </row>
    <row r="54" spans="1:15" ht="16.5" customHeight="1" x14ac:dyDescent="0.3">
      <c r="A54" s="184"/>
      <c r="B54" s="138"/>
      <c r="C54" s="185"/>
      <c r="D54" s="185"/>
      <c r="E54" s="186"/>
      <c r="F54" s="187"/>
      <c r="G54" s="188"/>
      <c r="I54" s="10" t="s">
        <v>71</v>
      </c>
      <c r="J54" s="35">
        <v>0</v>
      </c>
      <c r="K54" s="55" t="s">
        <v>441</v>
      </c>
      <c r="L54" s="36">
        <v>0</v>
      </c>
      <c r="M54" s="39">
        <f t="shared" si="3"/>
        <v>0</v>
      </c>
    </row>
    <row r="55" spans="1:15" ht="16.5" customHeight="1" x14ac:dyDescent="0.3">
      <c r="A55" s="189" t="s">
        <v>363</v>
      </c>
      <c r="B55" s="190"/>
      <c r="C55" s="190"/>
      <c r="D55" s="190"/>
      <c r="E55" s="190"/>
      <c r="F55" s="191"/>
      <c r="G55" s="192"/>
      <c r="I55" s="10" t="s">
        <v>69</v>
      </c>
      <c r="J55" s="35">
        <v>0</v>
      </c>
      <c r="K55" s="55" t="s">
        <v>441</v>
      </c>
      <c r="L55" s="36">
        <v>0</v>
      </c>
      <c r="M55" s="39">
        <f t="shared" si="3"/>
        <v>0</v>
      </c>
    </row>
    <row r="56" spans="1:15" ht="16.5" customHeight="1" x14ac:dyDescent="0.3">
      <c r="A56" s="193"/>
      <c r="B56" s="194"/>
      <c r="C56" s="195"/>
      <c r="D56" s="195"/>
      <c r="E56" s="195"/>
      <c r="F56" s="196"/>
      <c r="G56" s="197"/>
      <c r="I56" s="10" t="s">
        <v>499</v>
      </c>
      <c r="J56" s="35">
        <v>0</v>
      </c>
      <c r="K56" s="55" t="s">
        <v>441</v>
      </c>
      <c r="L56" s="36">
        <v>0</v>
      </c>
      <c r="M56" s="39">
        <f>IFERROR(J56/(_xlfn.XLOOKUP(K56,$S$33:$S$37,$R$33:$R$37))*L56,0)</f>
        <v>0</v>
      </c>
    </row>
    <row r="57" spans="1:15" ht="16.5" customHeight="1" x14ac:dyDescent="0.3">
      <c r="A57" s="176" t="s">
        <v>389</v>
      </c>
      <c r="B57" s="198"/>
      <c r="C57" s="195"/>
      <c r="D57" s="195"/>
      <c r="E57" s="195"/>
      <c r="F57" s="199"/>
      <c r="G57" s="17"/>
      <c r="I57" s="65" t="s">
        <v>500</v>
      </c>
      <c r="J57" s="35">
        <v>0</v>
      </c>
      <c r="K57" s="55" t="s">
        <v>441</v>
      </c>
      <c r="L57" s="36">
        <v>0</v>
      </c>
      <c r="M57" s="39">
        <f t="shared" ref="M57" si="4">IFERROR(J57/(_xlfn.XLOOKUP(K57,$S$33:$S$37,$R$33:$R$37))*L57,0)</f>
        <v>0</v>
      </c>
    </row>
    <row r="58" spans="1:15" ht="16.5" customHeight="1" x14ac:dyDescent="0.3">
      <c r="A58" s="200" t="s">
        <v>394</v>
      </c>
      <c r="B58" s="201"/>
      <c r="C58" s="202"/>
      <c r="D58" s="202"/>
      <c r="E58" s="138">
        <f>E52/E9</f>
        <v>4.5960727575757572</v>
      </c>
      <c r="F58" s="203" t="s">
        <v>395</v>
      </c>
      <c r="G58" s="17"/>
      <c r="I58" s="39"/>
      <c r="J58" s="39"/>
      <c r="K58" s="39"/>
      <c r="L58" s="39"/>
      <c r="M58" s="39"/>
    </row>
    <row r="59" spans="1:15" ht="16.5" customHeight="1" thickBot="1" x14ac:dyDescent="0.35">
      <c r="A59" s="204" t="s">
        <v>362</v>
      </c>
      <c r="B59" s="205"/>
      <c r="C59" s="206"/>
      <c r="D59" s="206"/>
      <c r="E59" s="207">
        <f>E52/E8</f>
        <v>174.33379425287356</v>
      </c>
      <c r="F59" s="208" t="s">
        <v>443</v>
      </c>
      <c r="G59" s="17"/>
      <c r="I59" s="271" t="s">
        <v>498</v>
      </c>
      <c r="J59" s="271"/>
      <c r="K59" s="271"/>
      <c r="L59" s="271"/>
      <c r="M59" s="271"/>
    </row>
    <row r="60" spans="1:15" ht="16.5" customHeight="1" x14ac:dyDescent="0.3">
      <c r="A60" s="89"/>
      <c r="B60" s="89"/>
      <c r="C60" s="89"/>
      <c r="D60" s="89"/>
      <c r="E60" s="89"/>
      <c r="F60" s="89"/>
      <c r="G60" s="17"/>
      <c r="I60" s="132" t="s">
        <v>424</v>
      </c>
      <c r="J60" s="132" t="s">
        <v>436</v>
      </c>
      <c r="K60" s="162" t="s">
        <v>434</v>
      </c>
      <c r="L60" s="132" t="s">
        <v>432</v>
      </c>
      <c r="M60" s="93" t="s">
        <v>404</v>
      </c>
    </row>
    <row r="61" spans="1:15" ht="16.5" customHeight="1" x14ac:dyDescent="0.3">
      <c r="A61" s="151" t="s">
        <v>446</v>
      </c>
      <c r="G61" s="17"/>
      <c r="I61" s="100" t="s">
        <v>60</v>
      </c>
      <c r="J61" s="100" t="s">
        <v>60</v>
      </c>
      <c r="K61" s="100" t="s">
        <v>60</v>
      </c>
      <c r="L61" s="100" t="s">
        <v>60</v>
      </c>
      <c r="M61" s="93"/>
    </row>
    <row r="62" spans="1:15" ht="16.5" customHeight="1" x14ac:dyDescent="0.3">
      <c r="A62" s="151" t="s">
        <v>447</v>
      </c>
      <c r="G62" s="17"/>
      <c r="I62" s="36" t="s">
        <v>366</v>
      </c>
      <c r="J62" s="35">
        <v>0</v>
      </c>
      <c r="K62" s="55" t="s">
        <v>441</v>
      </c>
      <c r="L62" s="36">
        <v>0</v>
      </c>
      <c r="M62" s="39">
        <f>IFERROR(J62/(_xlfn.XLOOKUP(K62,$S$33:$S$37,$R$33:$R$37))*L62,0)</f>
        <v>0</v>
      </c>
    </row>
    <row r="63" spans="1:15" ht="16.5" customHeight="1" x14ac:dyDescent="0.3">
      <c r="A63" s="209"/>
      <c r="B63" s="151"/>
      <c r="C63" s="151"/>
      <c r="D63" s="151"/>
      <c r="E63" s="151"/>
      <c r="F63" s="151"/>
      <c r="G63" s="21"/>
      <c r="I63" s="36" t="s">
        <v>366</v>
      </c>
      <c r="J63" s="35">
        <v>0</v>
      </c>
      <c r="K63" s="55" t="s">
        <v>441</v>
      </c>
      <c r="L63" s="36">
        <v>0</v>
      </c>
      <c r="M63" s="39">
        <f t="shared" ref="M63:M64" si="5">IFERROR(J63/(_xlfn.XLOOKUP(K63,$S$33:$S$37,$R$33:$R$37))*L63,0)</f>
        <v>0</v>
      </c>
    </row>
    <row r="64" spans="1:15" ht="16.5" customHeight="1" x14ac:dyDescent="0.3">
      <c r="A64" s="209"/>
      <c r="B64" s="151"/>
      <c r="C64" s="151"/>
      <c r="D64" s="151"/>
      <c r="E64" s="151"/>
      <c r="F64" s="151"/>
      <c r="G64" s="21"/>
      <c r="I64" s="36" t="s">
        <v>366</v>
      </c>
      <c r="J64" s="35">
        <v>0</v>
      </c>
      <c r="K64" s="55" t="s">
        <v>441</v>
      </c>
      <c r="L64" s="36">
        <v>0</v>
      </c>
      <c r="M64" s="39">
        <f t="shared" si="5"/>
        <v>0</v>
      </c>
      <c r="O64" s="2"/>
    </row>
    <row r="65" spans="1:15" ht="16.5" customHeight="1" x14ac:dyDescent="0.3">
      <c r="G65" s="21"/>
      <c r="L65" s="7"/>
      <c r="O65" s="2"/>
    </row>
    <row r="66" spans="1:15" ht="16.5" customHeight="1" x14ac:dyDescent="0.3">
      <c r="A66" s="211"/>
      <c r="B66" s="146"/>
      <c r="C66" s="146"/>
      <c r="D66" s="146"/>
      <c r="E66" s="146"/>
      <c r="G66" s="21"/>
      <c r="I66" s="10" t="s">
        <v>32</v>
      </c>
      <c r="J66" s="35">
        <v>0</v>
      </c>
      <c r="K66" s="55" t="s">
        <v>441</v>
      </c>
      <c r="L66" s="36">
        <v>0</v>
      </c>
      <c r="M66" s="39">
        <f>IFERROR(J66/(_xlfn.XLOOKUP(K66,$S$33:$S$37,$R$33:$R$37))*L66,0)</f>
        <v>0</v>
      </c>
      <c r="O66" s="2"/>
    </row>
    <row r="67" spans="1:15" ht="16.5" customHeight="1" x14ac:dyDescent="0.3">
      <c r="F67" s="146"/>
      <c r="G67" s="21"/>
      <c r="I67" s="10" t="s">
        <v>67</v>
      </c>
      <c r="J67" s="35">
        <v>0</v>
      </c>
      <c r="K67" s="55" t="s">
        <v>441</v>
      </c>
      <c r="L67" s="36">
        <v>0</v>
      </c>
      <c r="M67" s="39">
        <f t="shared" ref="M67:M70" si="6">IFERROR(J67/(_xlfn.XLOOKUP(K67,$S$33:$S$37,$R$33:$R$37))*L67,0)</f>
        <v>0</v>
      </c>
      <c r="O67" s="2"/>
    </row>
    <row r="68" spans="1:15" ht="16.5" customHeight="1" x14ac:dyDescent="0.3">
      <c r="G68" s="21"/>
      <c r="I68" s="10" t="s">
        <v>70</v>
      </c>
      <c r="J68" s="35">
        <v>0</v>
      </c>
      <c r="K68" s="55" t="s">
        <v>441</v>
      </c>
      <c r="L68" s="36">
        <v>0</v>
      </c>
      <c r="M68" s="39">
        <f t="shared" si="6"/>
        <v>0</v>
      </c>
      <c r="O68" s="2"/>
    </row>
    <row r="69" spans="1:15" ht="16.5" customHeight="1" x14ac:dyDescent="0.3">
      <c r="G69" s="21"/>
      <c r="I69" s="10" t="s">
        <v>71</v>
      </c>
      <c r="J69" s="35">
        <v>0</v>
      </c>
      <c r="K69" s="55" t="s">
        <v>441</v>
      </c>
      <c r="L69" s="36">
        <v>0</v>
      </c>
      <c r="M69" s="39">
        <f t="shared" si="6"/>
        <v>0</v>
      </c>
      <c r="O69" s="2"/>
    </row>
    <row r="70" spans="1:15" ht="16.5" customHeight="1" x14ac:dyDescent="0.3">
      <c r="G70" s="21"/>
      <c r="I70" s="10" t="s">
        <v>69</v>
      </c>
      <c r="J70" s="35">
        <v>0</v>
      </c>
      <c r="K70" s="55" t="s">
        <v>441</v>
      </c>
      <c r="L70" s="36">
        <v>0</v>
      </c>
      <c r="M70" s="39">
        <f t="shared" si="6"/>
        <v>0</v>
      </c>
      <c r="O70" s="2"/>
    </row>
    <row r="71" spans="1:15" ht="16.5" customHeight="1" x14ac:dyDescent="0.3">
      <c r="G71" s="21"/>
      <c r="I71" s="10" t="s">
        <v>499</v>
      </c>
      <c r="J71" s="35">
        <v>0</v>
      </c>
      <c r="K71" s="55" t="s">
        <v>441</v>
      </c>
      <c r="L71" s="36">
        <v>0</v>
      </c>
      <c r="M71" s="39">
        <f>IFERROR(J71/(_xlfn.XLOOKUP(K71,$S$33:$S$37,$R$33:$R$37))*L71,0)</f>
        <v>0</v>
      </c>
    </row>
    <row r="72" spans="1:15" ht="16.5" customHeight="1" x14ac:dyDescent="0.3">
      <c r="G72" s="21"/>
      <c r="I72" s="65" t="s">
        <v>500</v>
      </c>
      <c r="J72" s="35">
        <v>0</v>
      </c>
      <c r="K72" s="55" t="s">
        <v>441</v>
      </c>
      <c r="L72" s="36">
        <v>0</v>
      </c>
      <c r="M72" s="39">
        <f t="shared" ref="M72" si="7">IFERROR(J72/(_xlfn.XLOOKUP(K72,$S$33:$S$37,$R$33:$R$37))*L72,0)</f>
        <v>0</v>
      </c>
    </row>
    <row r="73" spans="1:15" ht="16.5" customHeight="1" x14ac:dyDescent="0.3">
      <c r="G73" s="21"/>
    </row>
    <row r="74" spans="1:15" ht="16.5" customHeight="1" x14ac:dyDescent="0.3">
      <c r="G74" s="21"/>
      <c r="I74" s="132" t="s">
        <v>625</v>
      </c>
      <c r="J74" s="132" t="s">
        <v>627</v>
      </c>
      <c r="K74" s="162"/>
      <c r="L74" s="132" t="s">
        <v>626</v>
      </c>
      <c r="M74" s="93" t="s">
        <v>404</v>
      </c>
    </row>
    <row r="75" spans="1:15" ht="16.5" customHeight="1" x14ac:dyDescent="0.3">
      <c r="G75" s="21"/>
      <c r="I75" s="117" t="s">
        <v>629</v>
      </c>
      <c r="J75" s="35">
        <v>6.65</v>
      </c>
      <c r="K75" s="37"/>
      <c r="L75" s="36">
        <v>1</v>
      </c>
      <c r="M75" s="39">
        <f>J75*L75</f>
        <v>6.65</v>
      </c>
    </row>
    <row r="76" spans="1:15" ht="16.5" customHeight="1" x14ac:dyDescent="0.3">
      <c r="G76" s="21"/>
      <c r="I76" s="117" t="s">
        <v>168</v>
      </c>
      <c r="J76" s="35">
        <v>10</v>
      </c>
      <c r="K76" s="37"/>
      <c r="L76" s="36">
        <v>0</v>
      </c>
      <c r="M76" s="39">
        <f>J76*L76</f>
        <v>0</v>
      </c>
      <c r="N76" s="44"/>
    </row>
    <row r="77" spans="1:15" ht="16.5" customHeight="1" x14ac:dyDescent="0.3">
      <c r="G77" s="21"/>
      <c r="N77" s="37"/>
    </row>
    <row r="78" spans="1:15" ht="16.5" customHeight="1" x14ac:dyDescent="0.3">
      <c r="G78" s="21"/>
      <c r="L78" s="152" t="s">
        <v>431</v>
      </c>
      <c r="M78" s="153">
        <f>SUM(M45:M76)</f>
        <v>57.852499999999999</v>
      </c>
    </row>
    <row r="79" spans="1:15" ht="16.5" customHeight="1" x14ac:dyDescent="0.3">
      <c r="G79" s="21"/>
    </row>
    <row r="80" spans="1:15" ht="16.5" customHeight="1" x14ac:dyDescent="0.3">
      <c r="G80" s="21"/>
    </row>
    <row r="81" spans="7:13" ht="16.5" customHeight="1" x14ac:dyDescent="0.3">
      <c r="G81" s="21"/>
    </row>
    <row r="82" spans="7:13" ht="16.5" customHeight="1" x14ac:dyDescent="0.3">
      <c r="G82" s="21"/>
    </row>
    <row r="83" spans="7:13" ht="16.5" customHeight="1" x14ac:dyDescent="0.3">
      <c r="G83" s="21"/>
    </row>
    <row r="84" spans="7:13" ht="16.5" customHeight="1" x14ac:dyDescent="0.3">
      <c r="G84" s="21"/>
    </row>
    <row r="85" spans="7:13" ht="16.5" customHeight="1" x14ac:dyDescent="0.3">
      <c r="G85" s="21"/>
    </row>
    <row r="86" spans="7:13" ht="16.5" customHeight="1" x14ac:dyDescent="0.3">
      <c r="G86" s="21"/>
    </row>
    <row r="87" spans="7:13" ht="16.5" customHeight="1" x14ac:dyDescent="0.3">
      <c r="G87" s="21"/>
    </row>
    <row r="88" spans="7:13" ht="16.5" customHeight="1" x14ac:dyDescent="0.3">
      <c r="G88" s="21"/>
      <c r="I88" s="44"/>
      <c r="J88" s="44"/>
      <c r="K88" s="44"/>
      <c r="L88" s="44"/>
      <c r="M88" s="44"/>
    </row>
    <row r="89" spans="7:13" ht="16.5" customHeight="1" x14ac:dyDescent="0.3">
      <c r="G89" s="21"/>
      <c r="I89" s="44"/>
      <c r="J89" s="44"/>
      <c r="K89" s="44"/>
      <c r="L89" s="44"/>
      <c r="M89" s="44"/>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2"/>
    </row>
    <row r="110" spans="7:7" ht="16.5" hidden="1" customHeight="1" x14ac:dyDescent="0.3">
      <c r="G110" s="212"/>
    </row>
    <row r="111" spans="7:7" ht="8.1" hidden="1" customHeight="1" x14ac:dyDescent="0.3">
      <c r="G111" s="212"/>
    </row>
    <row r="112" spans="7:7" ht="16.5" hidden="1" customHeight="1" x14ac:dyDescent="0.3">
      <c r="G112" s="212"/>
    </row>
    <row r="113" spans="1:7" ht="16.5" hidden="1" customHeight="1" x14ac:dyDescent="0.3">
      <c r="G113" s="212"/>
    </row>
    <row r="114" spans="1:7" ht="16.5" hidden="1" customHeight="1" x14ac:dyDescent="0.3">
      <c r="G114" s="212"/>
    </row>
    <row r="115" spans="1:7" ht="6.75" hidden="1" customHeight="1" x14ac:dyDescent="0.3">
      <c r="G115" s="213"/>
    </row>
    <row r="116" spans="1:7" ht="16.5" hidden="1" customHeight="1" x14ac:dyDescent="0.3">
      <c r="G116" s="213"/>
    </row>
    <row r="117" spans="1:7" ht="16.5" hidden="1" customHeight="1" x14ac:dyDescent="0.3">
      <c r="G117" s="213"/>
    </row>
    <row r="118" spans="1:7" ht="16.5" hidden="1" customHeight="1" x14ac:dyDescent="0.3">
      <c r="A118" s="214"/>
      <c r="B118" s="215"/>
      <c r="C118" s="215"/>
      <c r="D118" s="215"/>
      <c r="E118" s="215"/>
      <c r="G118" s="213"/>
    </row>
    <row r="119" spans="1:7" ht="16.5" hidden="1" customHeight="1" x14ac:dyDescent="0.3">
      <c r="F119" s="215"/>
      <c r="G119" s="201"/>
    </row>
    <row r="120" spans="1:7" ht="16.5" hidden="1" customHeight="1" x14ac:dyDescent="0.3">
      <c r="G120" s="216"/>
    </row>
    <row r="121" spans="1:7" ht="16.5" hidden="1" customHeight="1" x14ac:dyDescent="0.3">
      <c r="G121" s="201"/>
    </row>
    <row r="122" spans="1:7" ht="16.5" hidden="1" customHeight="1" x14ac:dyDescent="0.3">
      <c r="G122" s="217"/>
    </row>
    <row r="123" spans="1:7" ht="16.5" hidden="1" customHeight="1" x14ac:dyDescent="0.3">
      <c r="G123" s="218"/>
    </row>
    <row r="124" spans="1:7" ht="16.5" hidden="1" customHeight="1" x14ac:dyDescent="0.3">
      <c r="G124" s="219"/>
    </row>
    <row r="125" spans="1:7" ht="16.5" hidden="1" customHeight="1" x14ac:dyDescent="0.3">
      <c r="G125" s="218"/>
    </row>
    <row r="126" spans="1:7" ht="16.5" hidden="1" customHeight="1" x14ac:dyDescent="0.3">
      <c r="G126" s="219"/>
    </row>
    <row r="127" spans="1:7" ht="16.5" hidden="1" customHeight="1" x14ac:dyDescent="0.3">
      <c r="G127" s="220"/>
    </row>
    <row r="128" spans="1:7" ht="16.5" hidden="1" customHeight="1" x14ac:dyDescent="0.3">
      <c r="G128" s="213"/>
    </row>
    <row r="129" spans="7:7" ht="18.75" hidden="1" customHeight="1" x14ac:dyDescent="0.3">
      <c r="G129" s="66"/>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6"/>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sheetData>
  <sheetProtection sheet="1" objects="1" scenarios="1"/>
  <mergeCells count="16">
    <mergeCell ref="U37:Y42"/>
    <mergeCell ref="I42:M42"/>
    <mergeCell ref="I59:M59"/>
    <mergeCell ref="U15:Y15"/>
    <mergeCell ref="U26:Y27"/>
    <mergeCell ref="I40:M40"/>
    <mergeCell ref="U44:Y46"/>
    <mergeCell ref="A1:F3"/>
    <mergeCell ref="A14:A15"/>
    <mergeCell ref="B14:B15"/>
    <mergeCell ref="E5:F5"/>
    <mergeCell ref="U10:Y13"/>
    <mergeCell ref="I4:M4"/>
    <mergeCell ref="I10:M10"/>
    <mergeCell ref="T2:Y2"/>
    <mergeCell ref="E6:F6"/>
  </mergeCells>
  <phoneticPr fontId="34" type="noConversion"/>
  <conditionalFormatting sqref="E53">
    <cfRule type="expression" dxfId="5" priority="1">
      <formula>$E$53&lt;0</formula>
    </cfRule>
  </conditionalFormatting>
  <conditionalFormatting sqref="F19:F39">
    <cfRule type="dataBar" priority="614">
      <dataBar showValue="0">
        <cfvo type="min"/>
        <cfvo type="max"/>
        <color rgb="FF63C384"/>
      </dataBar>
      <extLst>
        <ext xmlns:x14="http://schemas.microsoft.com/office/spreadsheetml/2009/9/main" uri="{B025F937-C7B1-47D3-B67F-A62EFF666E3E}">
          <x14:id>{FE3F7056-E9FE-46DF-8C93-9FFBF34CDFA6}</x14:id>
        </ext>
      </extLst>
    </cfRule>
  </conditionalFormatting>
  <conditionalFormatting sqref="F44:F51">
    <cfRule type="dataBar" priority="610">
      <dataBar showValue="0">
        <cfvo type="min"/>
        <cfvo type="max"/>
        <color rgb="FF63C384"/>
      </dataBar>
      <extLst>
        <ext xmlns:x14="http://schemas.microsoft.com/office/spreadsheetml/2009/9/main" uri="{B025F937-C7B1-47D3-B67F-A62EFF666E3E}">
          <x14:id>{40F910F6-5BC3-4E41-81E0-08BA9D288CFA}</x14:id>
        </ext>
      </extLst>
    </cfRule>
  </conditionalFormatting>
  <dataValidations count="1">
    <dataValidation type="list" allowBlank="1" showInputMessage="1" showErrorMessage="1" sqref="K45:K49 K62:K64 K66:K72 K51:K57" xr:uid="{574835A6-B193-41BD-8BE3-2203AD518FD0}">
      <formula1>$S$33:$S$37</formula1>
    </dataValidation>
  </dataValidations>
  <hyperlinks>
    <hyperlink ref="U8" r:id="rId1" xr:uid="{B2930C22-2D3C-4F53-97AA-3CB9A825A6FD}"/>
    <hyperlink ref="U5" r:id="rId2" xr:uid="{E0413AA8-5B19-454A-90C2-9D2A5B1CF9AB}"/>
  </hyperlinks>
  <printOptions horizontalCentered="1" verticalCentered="1"/>
  <pageMargins left="0.25" right="0.25" top="0.5" bottom="0.5" header="0.5" footer="0.25"/>
  <pageSetup scale="74" orientation="portrait" r:id="rId3"/>
  <drawing r:id="rId4"/>
  <extLst>
    <ext xmlns:x14="http://schemas.microsoft.com/office/spreadsheetml/2009/9/main" uri="{78C0D931-6437-407d-A8EE-F0AAD7539E65}">
      <x14:conditionalFormattings>
        <x14:conditionalFormatting xmlns:xm="http://schemas.microsoft.com/office/excel/2006/main">
          <x14:cfRule type="dataBar" id="{FE3F7056-E9FE-46DF-8C93-9FFBF34CDFA6}">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40F910F6-5BC3-4E41-81E0-08BA9D288CFA}">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DC76493-0E59-4032-861C-1A523386E163}">
          <x14:formula1>
            <xm:f>Manure!$C$7:$C$11</xm:f>
          </x14:formula1>
          <xm:sqref>Y18 Y23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DD00-1465-4960-B853-10D0EFA622B5}">
  <sheetPr>
    <tabColor rgb="FFFFC000"/>
    <pageSetUpPr fitToPage="1"/>
  </sheetPr>
  <dimension ref="A1:Y194"/>
  <sheetViews>
    <sheetView zoomScale="80" zoomScaleNormal="80" workbookViewId="0">
      <selection activeCell="E8" sqref="E8"/>
    </sheetView>
  </sheetViews>
  <sheetFormatPr defaultColWidth="9.140625" defaultRowHeight="18.75" x14ac:dyDescent="0.3"/>
  <cols>
    <col min="1" max="1" width="50" style="210" customWidth="1"/>
    <col min="2" max="2" width="2.42578125" style="10" customWidth="1"/>
    <col min="3" max="3" width="14.7109375" style="10" bestFit="1" customWidth="1"/>
    <col min="4" max="4" width="2.85546875" style="10" customWidth="1"/>
    <col min="5" max="5" width="15.42578125" style="10"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2.7109375" style="10" bestFit="1" customWidth="1"/>
    <col min="22" max="24" width="9.28515625" style="10" bestFit="1" customWidth="1"/>
    <col min="25" max="25" width="29.28515625" style="10" bestFit="1" customWidth="1"/>
    <col min="26" max="16384" width="9.140625" style="10"/>
  </cols>
  <sheetData>
    <row r="1" spans="1:25" ht="21.75" customHeight="1" x14ac:dyDescent="0.3">
      <c r="A1" s="248" t="s">
        <v>444</v>
      </c>
      <c r="B1" s="249"/>
      <c r="C1" s="249"/>
      <c r="D1" s="249"/>
      <c r="E1" s="249"/>
      <c r="F1" s="250"/>
      <c r="G1" s="86"/>
    </row>
    <row r="2" spans="1:25" ht="15.75" customHeight="1" x14ac:dyDescent="0.3">
      <c r="A2" s="251"/>
      <c r="B2" s="252"/>
      <c r="C2" s="252"/>
      <c r="D2" s="252"/>
      <c r="E2" s="252"/>
      <c r="F2" s="253"/>
      <c r="G2" s="86"/>
      <c r="T2" s="265" t="s">
        <v>545</v>
      </c>
      <c r="U2" s="266"/>
      <c r="V2" s="266"/>
      <c r="W2" s="266"/>
      <c r="X2" s="266"/>
      <c r="Y2" s="267"/>
    </row>
    <row r="3" spans="1:25" ht="15.75" customHeight="1" thickBot="1" x14ac:dyDescent="0.35">
      <c r="A3" s="254"/>
      <c r="B3" s="255"/>
      <c r="C3" s="255"/>
      <c r="D3" s="255"/>
      <c r="E3" s="255"/>
      <c r="F3" s="256"/>
      <c r="G3" s="86"/>
    </row>
    <row r="4" spans="1:25" ht="19.5" thickBot="1" x14ac:dyDescent="0.35">
      <c r="A4" s="87"/>
      <c r="B4" s="88"/>
      <c r="C4" s="89"/>
      <c r="D4" s="89"/>
      <c r="E4" s="89"/>
      <c r="F4" s="90"/>
      <c r="G4" s="86"/>
      <c r="I4" s="265" t="s">
        <v>418</v>
      </c>
      <c r="J4" s="266"/>
      <c r="K4" s="266"/>
      <c r="L4" s="266"/>
      <c r="M4" s="267"/>
      <c r="U4" s="10" t="s">
        <v>493</v>
      </c>
    </row>
    <row r="5" spans="1:25" ht="21.75" thickBot="1" x14ac:dyDescent="0.35">
      <c r="A5" s="91"/>
      <c r="B5" s="92"/>
      <c r="C5" s="92"/>
      <c r="D5" s="92"/>
      <c r="E5" s="261" t="s">
        <v>552</v>
      </c>
      <c r="F5" s="262"/>
      <c r="G5" s="86"/>
      <c r="I5" s="93" t="s">
        <v>549</v>
      </c>
      <c r="J5" s="94" t="s">
        <v>402</v>
      </c>
      <c r="K5" s="94" t="s">
        <v>403</v>
      </c>
      <c r="L5" s="93"/>
      <c r="M5" s="93" t="s">
        <v>404</v>
      </c>
      <c r="U5" s="95" t="s">
        <v>496</v>
      </c>
    </row>
    <row r="6" spans="1:25" ht="19.5" customHeight="1" x14ac:dyDescent="0.3">
      <c r="A6" s="96" t="s">
        <v>59</v>
      </c>
      <c r="B6" s="97"/>
      <c r="D6" s="98"/>
      <c r="E6" s="268" t="s">
        <v>583</v>
      </c>
      <c r="F6" s="269"/>
      <c r="G6" s="86"/>
      <c r="I6" s="100" t="s">
        <v>60</v>
      </c>
      <c r="J6" s="100" t="s">
        <v>60</v>
      </c>
      <c r="K6" s="100" t="s">
        <v>60</v>
      </c>
      <c r="L6" s="100"/>
      <c r="M6" s="2"/>
    </row>
    <row r="7" spans="1:25" ht="16.5" customHeight="1" x14ac:dyDescent="0.3">
      <c r="A7" s="101" t="s">
        <v>290</v>
      </c>
      <c r="B7" s="102"/>
      <c r="D7" s="98"/>
      <c r="E7" s="103"/>
      <c r="F7" s="99"/>
      <c r="G7" s="86"/>
      <c r="I7" s="35">
        <v>280</v>
      </c>
      <c r="J7" s="36">
        <v>80000</v>
      </c>
      <c r="K7" s="36">
        <v>28000</v>
      </c>
      <c r="L7" s="100"/>
      <c r="M7" s="45">
        <f>I7/J7*K7</f>
        <v>98</v>
      </c>
      <c r="U7" s="10" t="s">
        <v>494</v>
      </c>
    </row>
    <row r="8" spans="1:25" ht="16.5" customHeight="1" x14ac:dyDescent="0.3">
      <c r="A8" s="104" t="s">
        <v>550</v>
      </c>
      <c r="B8" s="105"/>
      <c r="C8" s="106"/>
      <c r="D8" s="107"/>
      <c r="E8" s="67">
        <v>4.3499999999999996</v>
      </c>
      <c r="F8" s="30"/>
      <c r="G8" s="108"/>
      <c r="U8" s="95" t="s">
        <v>495</v>
      </c>
    </row>
    <row r="9" spans="1:25" ht="16.5" customHeight="1" x14ac:dyDescent="0.3">
      <c r="A9" s="109" t="s">
        <v>551</v>
      </c>
      <c r="B9" s="105"/>
      <c r="C9" s="110"/>
      <c r="D9" s="111"/>
      <c r="E9" s="68">
        <v>165</v>
      </c>
      <c r="F9" s="99" t="s">
        <v>391</v>
      </c>
      <c r="G9" s="112"/>
    </row>
    <row r="10" spans="1:25" ht="16.5" customHeight="1" x14ac:dyDescent="0.3">
      <c r="A10" s="104" t="s">
        <v>54</v>
      </c>
      <c r="B10" s="105"/>
      <c r="C10" s="110"/>
      <c r="D10" s="111"/>
      <c r="E10" s="71">
        <v>1</v>
      </c>
      <c r="F10" s="99" t="s">
        <v>54</v>
      </c>
      <c r="G10" s="113"/>
      <c r="I10" s="265" t="s">
        <v>407</v>
      </c>
      <c r="J10" s="266"/>
      <c r="K10" s="266"/>
      <c r="L10" s="266"/>
      <c r="M10" s="267"/>
      <c r="U10" s="263" t="s">
        <v>501</v>
      </c>
      <c r="V10" s="264"/>
      <c r="W10" s="264"/>
      <c r="X10" s="264"/>
      <c r="Y10" s="264"/>
    </row>
    <row r="11" spans="1:25" ht="16.5" hidden="1" customHeight="1" x14ac:dyDescent="0.3">
      <c r="A11" s="104"/>
      <c r="B11" s="114"/>
      <c r="C11" s="110"/>
      <c r="D11" s="111"/>
      <c r="E11" s="115"/>
      <c r="F11" s="99"/>
      <c r="G11" s="113"/>
      <c r="U11" s="264"/>
      <c r="V11" s="264"/>
      <c r="W11" s="264"/>
      <c r="X11" s="264"/>
      <c r="Y11" s="264"/>
    </row>
    <row r="12" spans="1:25" ht="16.5" hidden="1" customHeight="1" x14ac:dyDescent="0.3">
      <c r="A12" s="116" t="s">
        <v>371</v>
      </c>
      <c r="B12" s="117"/>
      <c r="C12" s="118"/>
      <c r="D12" s="119"/>
      <c r="E12" s="120">
        <v>0</v>
      </c>
      <c r="F12" s="121"/>
      <c r="G12" s="122"/>
      <c r="U12" s="264"/>
      <c r="V12" s="264"/>
      <c r="W12" s="264"/>
      <c r="X12" s="264"/>
      <c r="Y12" s="264"/>
    </row>
    <row r="13" spans="1:25" ht="16.5" customHeight="1" x14ac:dyDescent="0.3">
      <c r="A13" s="104"/>
      <c r="B13" s="123"/>
      <c r="C13" s="124"/>
      <c r="D13" s="125"/>
      <c r="E13" s="126"/>
      <c r="F13" s="99"/>
      <c r="G13" s="113"/>
      <c r="U13" s="264"/>
      <c r="V13" s="264"/>
      <c r="W13" s="264"/>
      <c r="X13" s="264"/>
      <c r="Y13" s="264"/>
    </row>
    <row r="14" spans="1:25" ht="16.5" customHeight="1" x14ac:dyDescent="0.3">
      <c r="A14" s="257" t="s">
        <v>291</v>
      </c>
      <c r="B14" s="259"/>
      <c r="C14" s="124"/>
      <c r="D14" s="128"/>
      <c r="E14" s="129" t="s">
        <v>35</v>
      </c>
      <c r="F14" s="130"/>
      <c r="G14" s="131"/>
      <c r="I14" s="132" t="s">
        <v>424</v>
      </c>
      <c r="J14" s="132" t="s">
        <v>425</v>
      </c>
      <c r="K14" s="132" t="s">
        <v>434</v>
      </c>
      <c r="L14" s="132" t="s">
        <v>432</v>
      </c>
      <c r="M14" s="93" t="s">
        <v>404</v>
      </c>
    </row>
    <row r="15" spans="1:25" ht="16.5" customHeight="1" thickBot="1" x14ac:dyDescent="0.35">
      <c r="A15" s="258"/>
      <c r="B15" s="260"/>
      <c r="C15" s="34"/>
      <c r="D15" s="33"/>
      <c r="E15" s="24">
        <f>(E8*E9)+E12</f>
        <v>717.74999999999989</v>
      </c>
      <c r="F15" s="31"/>
      <c r="G15" s="29"/>
      <c r="I15" s="132"/>
      <c r="J15" s="100" t="s">
        <v>60</v>
      </c>
      <c r="K15" s="132"/>
      <c r="L15" s="100" t="s">
        <v>60</v>
      </c>
      <c r="M15" s="93"/>
      <c r="U15" s="272" t="s">
        <v>453</v>
      </c>
      <c r="V15" s="273"/>
      <c r="W15" s="273"/>
      <c r="X15" s="273"/>
      <c r="Y15" s="274"/>
    </row>
    <row r="16" spans="1:25" ht="16.5" customHeight="1" thickTop="1" x14ac:dyDescent="0.3">
      <c r="A16" s="104"/>
      <c r="B16" s="105"/>
      <c r="C16" s="133" t="s">
        <v>445</v>
      </c>
      <c r="D16" s="133"/>
      <c r="E16" s="134"/>
      <c r="F16" s="135"/>
      <c r="G16" s="112"/>
      <c r="I16" s="136" t="s">
        <v>578</v>
      </c>
      <c r="J16" s="35">
        <v>513</v>
      </c>
      <c r="K16" s="37" t="s">
        <v>3</v>
      </c>
      <c r="L16" s="36">
        <v>27.5</v>
      </c>
      <c r="M16" s="39">
        <f>'Fertilizer (Build Non-Irr)'!J5</f>
        <v>75.263512500000004</v>
      </c>
      <c r="U16" s="10" t="s">
        <v>454</v>
      </c>
      <c r="Y16" s="54" t="s">
        <v>455</v>
      </c>
    </row>
    <row r="17" spans="1:25" ht="16.5" customHeight="1" x14ac:dyDescent="0.3">
      <c r="A17" s="137" t="s">
        <v>252</v>
      </c>
      <c r="B17" s="138"/>
      <c r="C17" s="139" t="s">
        <v>392</v>
      </c>
      <c r="D17" s="133"/>
      <c r="E17" s="140"/>
      <c r="F17" s="141"/>
      <c r="G17" s="112"/>
      <c r="I17" s="136" t="s">
        <v>576</v>
      </c>
      <c r="J17" s="35">
        <v>1100</v>
      </c>
      <c r="K17" s="37" t="s">
        <v>435</v>
      </c>
      <c r="L17" s="36">
        <v>0</v>
      </c>
      <c r="M17" s="39">
        <f>'Fertilizer (Build Non-Irr)'!J6</f>
        <v>0</v>
      </c>
      <c r="T17" s="54"/>
      <c r="U17" s="37" t="s">
        <v>51</v>
      </c>
      <c r="V17" s="37" t="s">
        <v>52</v>
      </c>
      <c r="W17" s="37" t="s">
        <v>442</v>
      </c>
      <c r="X17" s="37" t="s">
        <v>53</v>
      </c>
      <c r="Y17" s="100" t="s">
        <v>477</v>
      </c>
    </row>
    <row r="18" spans="1:25" ht="16.5" customHeight="1" x14ac:dyDescent="0.3">
      <c r="A18" s="142" t="s">
        <v>372</v>
      </c>
      <c r="B18" s="138"/>
      <c r="C18" s="139" t="s">
        <v>393</v>
      </c>
      <c r="D18" s="133"/>
      <c r="E18" s="143" t="s">
        <v>35</v>
      </c>
      <c r="F18" s="144"/>
      <c r="G18" s="112"/>
      <c r="I18" s="136" t="s">
        <v>451</v>
      </c>
      <c r="J18" s="35">
        <v>550</v>
      </c>
      <c r="K18" s="37" t="s">
        <v>3</v>
      </c>
      <c r="L18" s="36">
        <v>0</v>
      </c>
      <c r="M18" s="39">
        <f>'Fertilizer (Build Non-Irr)'!J7</f>
        <v>0</v>
      </c>
      <c r="T18" s="100" t="s">
        <v>478</v>
      </c>
      <c r="U18" s="60">
        <v>0</v>
      </c>
      <c r="V18" s="60">
        <v>0</v>
      </c>
      <c r="W18" s="60">
        <v>0</v>
      </c>
      <c r="X18" s="60">
        <v>0</v>
      </c>
      <c r="Y18" s="61" t="s">
        <v>464</v>
      </c>
    </row>
    <row r="19" spans="1:25" ht="16.5" customHeight="1" x14ac:dyDescent="0.3">
      <c r="A19" s="127" t="s">
        <v>36</v>
      </c>
      <c r="B19" s="105"/>
      <c r="C19" s="74" t="s">
        <v>554</v>
      </c>
      <c r="D19" s="26"/>
      <c r="E19" s="145">
        <f>M7</f>
        <v>98</v>
      </c>
      <c r="F19" s="32">
        <f t="shared" ref="F19:F39" si="0">E19</f>
        <v>98</v>
      </c>
      <c r="G19" s="131"/>
      <c r="I19" s="37" t="s">
        <v>426</v>
      </c>
      <c r="J19" s="35">
        <v>853</v>
      </c>
      <c r="K19" s="37" t="s">
        <v>435</v>
      </c>
      <c r="L19" s="36">
        <v>0</v>
      </c>
      <c r="M19" s="39">
        <f>'Fertilizer (Build Non-Irr)'!J4</f>
        <v>0</v>
      </c>
      <c r="T19" s="146" t="s">
        <v>482</v>
      </c>
      <c r="U19" s="147">
        <f>Manure!M8</f>
        <v>0</v>
      </c>
      <c r="V19" s="147">
        <f>Manure!N8</f>
        <v>0</v>
      </c>
      <c r="W19" s="147">
        <f>Manure!O8</f>
        <v>0</v>
      </c>
      <c r="X19" s="147">
        <f>Manure!P8</f>
        <v>0</v>
      </c>
      <c r="Y19" s="10" t="s">
        <v>457</v>
      </c>
    </row>
    <row r="20" spans="1:25" ht="16.5" customHeight="1" x14ac:dyDescent="0.3">
      <c r="A20" s="104" t="s">
        <v>37</v>
      </c>
      <c r="B20" s="114"/>
      <c r="C20" s="74" t="s">
        <v>555</v>
      </c>
      <c r="D20" s="26"/>
      <c r="E20" s="145">
        <f>M34</f>
        <v>332.63151249999999</v>
      </c>
      <c r="F20" s="32">
        <f t="shared" si="0"/>
        <v>332.63151249999999</v>
      </c>
      <c r="G20" s="29"/>
      <c r="I20" s="37" t="s">
        <v>405</v>
      </c>
      <c r="J20" s="35">
        <v>857</v>
      </c>
      <c r="K20" s="37" t="s">
        <v>435</v>
      </c>
      <c r="L20" s="36">
        <v>141</v>
      </c>
      <c r="M20" s="39">
        <f>'Fertilizer (Build Non-Irr)'!J9+'Fertilizer (Build Non-Irr)'!J15</f>
        <v>60.418500000000009</v>
      </c>
    </row>
    <row r="21" spans="1:25" ht="16.5" customHeight="1" x14ac:dyDescent="0.3">
      <c r="A21" s="104" t="s">
        <v>257</v>
      </c>
      <c r="B21" s="114"/>
      <c r="C21" s="74" t="s">
        <v>556</v>
      </c>
      <c r="D21" s="26"/>
      <c r="E21" s="148">
        <f>M78</f>
        <v>57.852499999999999</v>
      </c>
      <c r="F21" s="32">
        <f t="shared" si="0"/>
        <v>57.852499999999999</v>
      </c>
      <c r="G21" s="29"/>
      <c r="I21" s="37" t="s">
        <v>427</v>
      </c>
      <c r="J21" s="35">
        <v>894</v>
      </c>
      <c r="K21" s="37" t="s">
        <v>435</v>
      </c>
      <c r="L21" s="36">
        <v>0</v>
      </c>
      <c r="M21" s="39">
        <f>'Fertilizer (Build Non-Irr)'!J10+'Fertilizer (Build Non-Irr)'!J16</f>
        <v>0</v>
      </c>
      <c r="U21" s="10" t="s">
        <v>458</v>
      </c>
      <c r="Y21" s="54" t="s">
        <v>455</v>
      </c>
    </row>
    <row r="22" spans="1:25" ht="16.5" customHeight="1" x14ac:dyDescent="0.3">
      <c r="A22" s="104" t="s">
        <v>41</v>
      </c>
      <c r="B22" s="105"/>
      <c r="C22" s="74" t="s">
        <v>557</v>
      </c>
      <c r="D22" s="26"/>
      <c r="E22" s="69">
        <v>27</v>
      </c>
      <c r="F22" s="32">
        <f t="shared" si="0"/>
        <v>27</v>
      </c>
      <c r="G22" s="29"/>
      <c r="I22" s="37" t="s">
        <v>488</v>
      </c>
      <c r="J22" s="35">
        <v>700</v>
      </c>
      <c r="K22" s="37" t="s">
        <v>3</v>
      </c>
      <c r="L22" s="36">
        <v>5</v>
      </c>
      <c r="M22" s="39">
        <f>'Fertilizer (Build Non-Irr)'!J8</f>
        <v>20.474999999999998</v>
      </c>
      <c r="O22" s="149">
        <f>J25/2000</f>
        <v>0.33750000000000002</v>
      </c>
      <c r="P22" s="149">
        <f>O22*L25</f>
        <v>11.8125</v>
      </c>
      <c r="U22" s="37" t="s">
        <v>51</v>
      </c>
      <c r="V22" s="37" t="s">
        <v>52</v>
      </c>
      <c r="W22" s="37" t="s">
        <v>442</v>
      </c>
      <c r="X22" s="37" t="s">
        <v>53</v>
      </c>
      <c r="Y22" s="100" t="s">
        <v>477</v>
      </c>
    </row>
    <row r="23" spans="1:25" ht="16.5" customHeight="1" x14ac:dyDescent="0.3">
      <c r="A23" s="104" t="s">
        <v>397</v>
      </c>
      <c r="B23" s="105"/>
      <c r="C23" s="74" t="s">
        <v>398</v>
      </c>
      <c r="D23" s="26"/>
      <c r="E23" s="69">
        <v>2</v>
      </c>
      <c r="F23" s="32">
        <f t="shared" si="0"/>
        <v>2</v>
      </c>
      <c r="G23" s="29"/>
      <c r="I23" s="37" t="s">
        <v>406</v>
      </c>
      <c r="J23" s="35">
        <v>503</v>
      </c>
      <c r="K23" s="37" t="s">
        <v>435</v>
      </c>
      <c r="L23" s="36">
        <v>108</v>
      </c>
      <c r="M23" s="39">
        <f>'Fertilizer (Build Non-Irr)'!J17</f>
        <v>27.161999999999999</v>
      </c>
      <c r="O23" s="2"/>
      <c r="T23" s="100" t="s">
        <v>478</v>
      </c>
      <c r="U23" s="60">
        <v>0</v>
      </c>
      <c r="V23" s="60">
        <v>0</v>
      </c>
      <c r="W23" s="60">
        <v>0</v>
      </c>
      <c r="X23" s="60">
        <v>0</v>
      </c>
      <c r="Y23" s="61" t="s">
        <v>464</v>
      </c>
    </row>
    <row r="24" spans="1:25" ht="16.5" customHeight="1" x14ac:dyDescent="0.3">
      <c r="A24" s="104" t="s">
        <v>396</v>
      </c>
      <c r="B24" s="105"/>
      <c r="C24" s="74" t="s">
        <v>558</v>
      </c>
      <c r="D24" s="26"/>
      <c r="E24" s="69">
        <v>16</v>
      </c>
      <c r="F24" s="32">
        <f t="shared" si="0"/>
        <v>16</v>
      </c>
      <c r="G24" s="29"/>
      <c r="I24" s="37" t="s">
        <v>487</v>
      </c>
      <c r="J24" s="35">
        <v>0</v>
      </c>
      <c r="K24" s="37" t="s">
        <v>435</v>
      </c>
      <c r="L24" s="36">
        <v>0</v>
      </c>
      <c r="M24" s="39">
        <f>'Fertilizer (Build Non-Irr)'!J18</f>
        <v>0</v>
      </c>
      <c r="T24" s="150" t="s">
        <v>483</v>
      </c>
      <c r="U24" s="147">
        <f>Manure!M10</f>
        <v>0</v>
      </c>
      <c r="V24" s="147">
        <f>Manure!N10</f>
        <v>0</v>
      </c>
      <c r="W24" s="147">
        <f>Manure!O10</f>
        <v>0</v>
      </c>
      <c r="X24" s="147">
        <f>Manure!P10</f>
        <v>0</v>
      </c>
      <c r="Y24" s="10" t="s">
        <v>457</v>
      </c>
    </row>
    <row r="25" spans="1:25" ht="16.5" customHeight="1" x14ac:dyDescent="0.3">
      <c r="A25" s="104" t="s">
        <v>43</v>
      </c>
      <c r="B25" s="114"/>
      <c r="C25" s="74" t="s">
        <v>559</v>
      </c>
      <c r="D25" s="26"/>
      <c r="E25" s="70">
        <v>35</v>
      </c>
      <c r="F25" s="32">
        <f t="shared" si="0"/>
        <v>35</v>
      </c>
      <c r="G25" s="29"/>
      <c r="I25" s="37" t="s">
        <v>452</v>
      </c>
      <c r="J25" s="35">
        <v>675</v>
      </c>
      <c r="K25" s="37" t="s">
        <v>435</v>
      </c>
      <c r="L25" s="36">
        <v>35</v>
      </c>
      <c r="M25" s="40">
        <f>'Fertilizer (Build Non-Irr)'!J11+'Fertilizer (Build Non-Irr)'!J20</f>
        <v>11.8125</v>
      </c>
    </row>
    <row r="26" spans="1:25" ht="16.5" customHeight="1" x14ac:dyDescent="0.3">
      <c r="A26" s="104" t="s">
        <v>46</v>
      </c>
      <c r="B26" s="114"/>
      <c r="C26" s="74" t="s">
        <v>560</v>
      </c>
      <c r="D26" s="26"/>
      <c r="E26" s="70">
        <v>55</v>
      </c>
      <c r="F26" s="32">
        <f t="shared" si="0"/>
        <v>55</v>
      </c>
      <c r="G26" s="29"/>
      <c r="I26" s="37" t="s">
        <v>489</v>
      </c>
      <c r="J26" s="35">
        <v>0</v>
      </c>
      <c r="K26" s="37" t="s">
        <v>435</v>
      </c>
      <c r="L26" s="36">
        <v>0</v>
      </c>
      <c r="M26" s="39">
        <f>'Fertilizer (Build Non-Irr)'!J21</f>
        <v>0</v>
      </c>
      <c r="U26" s="263" t="s">
        <v>476</v>
      </c>
      <c r="V26" s="263"/>
      <c r="W26" s="263"/>
      <c r="X26" s="263"/>
      <c r="Y26" s="263"/>
    </row>
    <row r="27" spans="1:25" ht="16.5" customHeight="1" x14ac:dyDescent="0.3">
      <c r="A27" s="104" t="s">
        <v>38</v>
      </c>
      <c r="B27" s="114"/>
      <c r="C27" s="74" t="s">
        <v>561</v>
      </c>
      <c r="D27" s="26"/>
      <c r="E27" s="70">
        <v>15</v>
      </c>
      <c r="F27" s="32">
        <f t="shared" si="0"/>
        <v>15</v>
      </c>
      <c r="G27" s="29"/>
      <c r="I27" s="37" t="s">
        <v>492</v>
      </c>
      <c r="J27" s="35">
        <v>55</v>
      </c>
      <c r="K27" s="37" t="s">
        <v>481</v>
      </c>
      <c r="L27" s="36">
        <v>2.5</v>
      </c>
      <c r="M27" s="39">
        <f>J27*L27</f>
        <v>137.5</v>
      </c>
      <c r="U27" s="263"/>
      <c r="V27" s="263"/>
      <c r="W27" s="263"/>
      <c r="X27" s="263"/>
      <c r="Y27" s="263"/>
    </row>
    <row r="28" spans="1:25" ht="16.5" customHeight="1" x14ac:dyDescent="0.3">
      <c r="A28" s="104" t="s">
        <v>390</v>
      </c>
      <c r="B28" s="105"/>
      <c r="C28" s="74" t="s">
        <v>562</v>
      </c>
      <c r="D28" s="26"/>
      <c r="E28" s="70">
        <v>8</v>
      </c>
      <c r="F28" s="32">
        <f t="shared" si="0"/>
        <v>8</v>
      </c>
      <c r="G28" s="29"/>
      <c r="I28" s="37" t="s">
        <v>463</v>
      </c>
      <c r="J28" s="35">
        <v>50</v>
      </c>
      <c r="K28" s="37" t="s">
        <v>481</v>
      </c>
      <c r="L28" s="36">
        <v>0</v>
      </c>
      <c r="M28" s="39">
        <f>J28*L28</f>
        <v>0</v>
      </c>
    </row>
    <row r="29" spans="1:25" ht="16.5" customHeight="1" x14ac:dyDescent="0.3">
      <c r="A29" s="104" t="s">
        <v>42</v>
      </c>
      <c r="B29" s="105"/>
      <c r="C29" s="74" t="s">
        <v>401</v>
      </c>
      <c r="D29" s="26"/>
      <c r="E29" s="70">
        <v>3</v>
      </c>
      <c r="F29" s="32">
        <f t="shared" si="0"/>
        <v>3</v>
      </c>
      <c r="G29" s="29"/>
      <c r="I29" s="37" t="s">
        <v>479</v>
      </c>
      <c r="J29" s="35">
        <v>0.01</v>
      </c>
      <c r="K29" s="37" t="s">
        <v>480</v>
      </c>
      <c r="L29" s="63">
        <v>0</v>
      </c>
      <c r="M29" s="46">
        <f>J29*L29*1000</f>
        <v>0</v>
      </c>
      <c r="U29" s="151" t="s">
        <v>473</v>
      </c>
      <c r="V29" s="151"/>
      <c r="W29" s="151"/>
      <c r="X29" s="151"/>
    </row>
    <row r="30" spans="1:25" ht="16.5" customHeight="1" x14ac:dyDescent="0.3">
      <c r="A30" s="104" t="s">
        <v>48</v>
      </c>
      <c r="B30" s="105"/>
      <c r="C30" s="74" t="s">
        <v>399</v>
      </c>
      <c r="D30" s="26"/>
      <c r="E30" s="69">
        <v>1.5</v>
      </c>
      <c r="F30" s="32">
        <f t="shared" si="0"/>
        <v>1.5</v>
      </c>
      <c r="G30" s="29"/>
      <c r="I30" s="37"/>
      <c r="J30" s="37"/>
      <c r="K30" s="37"/>
      <c r="L30" s="37"/>
      <c r="M30" s="37"/>
      <c r="U30" s="154" t="s">
        <v>51</v>
      </c>
      <c r="V30" s="154" t="s">
        <v>52</v>
      </c>
      <c r="W30" s="154" t="s">
        <v>442</v>
      </c>
      <c r="X30" s="154" t="s">
        <v>53</v>
      </c>
    </row>
    <row r="31" spans="1:25" ht="16.5" customHeight="1" x14ac:dyDescent="0.3">
      <c r="A31" s="104" t="s">
        <v>49</v>
      </c>
      <c r="B31" s="105"/>
      <c r="C31" s="74" t="s">
        <v>563</v>
      </c>
      <c r="D31" s="26"/>
      <c r="E31" s="70">
        <v>5</v>
      </c>
      <c r="F31" s="32">
        <f t="shared" si="0"/>
        <v>5</v>
      </c>
      <c r="G31" s="29"/>
      <c r="I31" s="132" t="s">
        <v>625</v>
      </c>
      <c r="J31" s="132" t="s">
        <v>627</v>
      </c>
      <c r="K31" s="162"/>
      <c r="L31" s="132" t="s">
        <v>626</v>
      </c>
      <c r="M31" s="93" t="s">
        <v>404</v>
      </c>
      <c r="U31" s="154">
        <v>42</v>
      </c>
      <c r="V31" s="154">
        <v>75</v>
      </c>
      <c r="W31" s="154">
        <v>58</v>
      </c>
      <c r="X31" s="154">
        <v>8</v>
      </c>
    </row>
    <row r="32" spans="1:25" ht="16.5" customHeight="1" x14ac:dyDescent="0.3">
      <c r="A32" s="104" t="s">
        <v>368</v>
      </c>
      <c r="B32" s="105"/>
      <c r="C32" s="74" t="s">
        <v>564</v>
      </c>
      <c r="D32" s="26"/>
      <c r="E32" s="70">
        <v>18</v>
      </c>
      <c r="F32" s="32">
        <f t="shared" si="0"/>
        <v>18</v>
      </c>
      <c r="G32" s="29"/>
      <c r="I32" s="37" t="s">
        <v>168</v>
      </c>
      <c r="J32" s="35">
        <v>10</v>
      </c>
      <c r="K32" s="37"/>
      <c r="L32" s="36">
        <v>0</v>
      </c>
      <c r="M32" s="39">
        <f>J32*L32</f>
        <v>0</v>
      </c>
    </row>
    <row r="33" spans="1:25" ht="16.5" customHeight="1" x14ac:dyDescent="0.3">
      <c r="A33" s="109" t="s">
        <v>511</v>
      </c>
      <c r="B33" s="105"/>
      <c r="C33" s="74" t="s">
        <v>513</v>
      </c>
      <c r="D33" s="26"/>
      <c r="E33" s="70">
        <v>0</v>
      </c>
      <c r="F33" s="32">
        <f t="shared" si="0"/>
        <v>0</v>
      </c>
      <c r="G33" s="29"/>
      <c r="R33" s="10">
        <v>0</v>
      </c>
      <c r="S33" s="10" t="s">
        <v>441</v>
      </c>
      <c r="U33" s="151" t="s">
        <v>474</v>
      </c>
      <c r="V33" s="151"/>
      <c r="W33" s="151"/>
      <c r="X33" s="151"/>
    </row>
    <row r="34" spans="1:25" ht="16.5" customHeight="1" x14ac:dyDescent="0.3">
      <c r="A34" s="109" t="s">
        <v>512</v>
      </c>
      <c r="B34" s="105"/>
      <c r="C34" s="74" t="s">
        <v>514</v>
      </c>
      <c r="D34" s="26"/>
      <c r="E34" s="70">
        <v>0</v>
      </c>
      <c r="F34" s="32">
        <f t="shared" si="0"/>
        <v>0</v>
      </c>
      <c r="G34" s="29"/>
      <c r="L34" s="152" t="s">
        <v>431</v>
      </c>
      <c r="M34" s="153">
        <f>SUM(M16:M32)</f>
        <v>332.63151249999999</v>
      </c>
      <c r="R34" s="158">
        <v>8</v>
      </c>
      <c r="S34" s="159" t="s">
        <v>437</v>
      </c>
      <c r="T34" s="159"/>
      <c r="U34" s="154" t="s">
        <v>51</v>
      </c>
      <c r="V34" s="154" t="s">
        <v>52</v>
      </c>
      <c r="W34" s="154" t="s">
        <v>442</v>
      </c>
      <c r="X34" s="154" t="s">
        <v>53</v>
      </c>
    </row>
    <row r="35" spans="1:25" ht="16.5" customHeight="1" x14ac:dyDescent="0.3">
      <c r="A35" s="109" t="s">
        <v>472</v>
      </c>
      <c r="B35" s="105"/>
      <c r="C35" s="227" t="s">
        <v>565</v>
      </c>
      <c r="D35" s="26"/>
      <c r="E35" s="70">
        <v>14</v>
      </c>
      <c r="F35" s="32">
        <f t="shared" si="0"/>
        <v>14</v>
      </c>
      <c r="G35" s="29"/>
      <c r="M35" s="153"/>
      <c r="R35" s="158">
        <v>16</v>
      </c>
      <c r="S35" s="159" t="s">
        <v>438</v>
      </c>
      <c r="T35" s="159"/>
      <c r="U35" s="154">
        <v>43</v>
      </c>
      <c r="V35" s="154">
        <v>17</v>
      </c>
      <c r="W35" s="154">
        <v>38</v>
      </c>
      <c r="X35" s="154">
        <v>10</v>
      </c>
    </row>
    <row r="36" spans="1:25" ht="16.5" customHeight="1" x14ac:dyDescent="0.3">
      <c r="A36" s="109" t="s">
        <v>366</v>
      </c>
      <c r="B36" s="105"/>
      <c r="C36" s="74" t="s">
        <v>400</v>
      </c>
      <c r="D36" s="26"/>
      <c r="E36" s="70">
        <v>8</v>
      </c>
      <c r="F36" s="32">
        <f t="shared" si="0"/>
        <v>8</v>
      </c>
      <c r="G36" s="29"/>
      <c r="J36" s="155" t="s">
        <v>51</v>
      </c>
      <c r="K36" s="155" t="s">
        <v>52</v>
      </c>
      <c r="L36" s="155" t="s">
        <v>442</v>
      </c>
      <c r="M36" s="155" t="s">
        <v>53</v>
      </c>
      <c r="R36" s="158">
        <v>128</v>
      </c>
      <c r="S36" s="159" t="s">
        <v>439</v>
      </c>
      <c r="T36" s="159"/>
    </row>
    <row r="37" spans="1:25" ht="16.5" customHeight="1" x14ac:dyDescent="0.3">
      <c r="A37" s="72" t="s">
        <v>475</v>
      </c>
      <c r="B37" s="105"/>
      <c r="C37" s="74"/>
      <c r="D37" s="160"/>
      <c r="E37" s="69">
        <v>0</v>
      </c>
      <c r="F37" s="32">
        <f t="shared" si="0"/>
        <v>0</v>
      </c>
      <c r="G37" s="29"/>
      <c r="I37" s="4" t="s">
        <v>581</v>
      </c>
      <c r="J37" s="156">
        <f>'Fertilizer (Build Non-Irr)'!P5+(U19*L28)+(L29*U24)</f>
        <v>120.73899999999999</v>
      </c>
      <c r="K37" s="156">
        <f>'Fertilizer (Build Non-Irr)'!Q5+(V19*L28)+(L29*V24)</f>
        <v>84.75</v>
      </c>
      <c r="L37" s="156">
        <f>'Fertilizer (Build Non-Irr)'!R5+(W19*L28)+(L29*W24)</f>
        <v>64.8</v>
      </c>
      <c r="M37" s="156">
        <f>'Fertilizer (Build Non-Irr)'!S5+(X19*L28)+(L29*X24)</f>
        <v>8.4</v>
      </c>
      <c r="N37" s="161"/>
      <c r="R37" s="10">
        <v>4</v>
      </c>
      <c r="S37" s="10" t="s">
        <v>440</v>
      </c>
      <c r="U37" s="270" t="s">
        <v>515</v>
      </c>
      <c r="V37" s="270"/>
      <c r="W37" s="270"/>
      <c r="X37" s="270"/>
      <c r="Y37" s="270"/>
    </row>
    <row r="38" spans="1:25" ht="16.5" customHeight="1" x14ac:dyDescent="0.3">
      <c r="A38" s="72" t="s">
        <v>475</v>
      </c>
      <c r="B38" s="105"/>
      <c r="C38" s="74"/>
      <c r="D38" s="160"/>
      <c r="E38" s="69">
        <v>0</v>
      </c>
      <c r="F38" s="32">
        <f t="shared" si="0"/>
        <v>0</v>
      </c>
      <c r="G38" s="29"/>
      <c r="I38" s="234" t="s">
        <v>588</v>
      </c>
      <c r="J38" s="157"/>
      <c r="K38" s="147"/>
      <c r="L38" s="147"/>
      <c r="M38" s="147"/>
      <c r="U38" s="270"/>
      <c r="V38" s="270"/>
      <c r="W38" s="270"/>
      <c r="X38" s="270"/>
      <c r="Y38" s="270"/>
    </row>
    <row r="39" spans="1:25" ht="16.5" customHeight="1" x14ac:dyDescent="0.3">
      <c r="A39" s="72" t="s">
        <v>475</v>
      </c>
      <c r="B39" s="105"/>
      <c r="C39" s="74"/>
      <c r="D39" s="160"/>
      <c r="E39" s="69">
        <v>0</v>
      </c>
      <c r="F39" s="32">
        <f t="shared" si="0"/>
        <v>0</v>
      </c>
      <c r="G39" s="29"/>
      <c r="I39" s="234"/>
      <c r="J39" s="157"/>
      <c r="K39" s="147"/>
      <c r="L39" s="147"/>
      <c r="M39" s="147"/>
      <c r="U39" s="270"/>
      <c r="V39" s="270"/>
      <c r="W39" s="270"/>
      <c r="X39" s="270"/>
      <c r="Y39" s="270"/>
    </row>
    <row r="40" spans="1:25" ht="16.5" customHeight="1" thickBot="1" x14ac:dyDescent="0.35">
      <c r="A40" s="163" t="s">
        <v>251</v>
      </c>
      <c r="B40" s="164"/>
      <c r="C40" s="18"/>
      <c r="D40" s="22"/>
      <c r="E40" s="23">
        <f>SUM(E19:E39)</f>
        <v>695.98401250000006</v>
      </c>
      <c r="F40" s="165"/>
      <c r="G40" s="29"/>
      <c r="I40" s="265" t="s">
        <v>433</v>
      </c>
      <c r="J40" s="266"/>
      <c r="K40" s="266"/>
      <c r="L40" s="266"/>
      <c r="M40" s="267"/>
      <c r="U40" s="270"/>
      <c r="V40" s="270"/>
      <c r="W40" s="270"/>
      <c r="X40" s="270"/>
      <c r="Y40" s="270"/>
    </row>
    <row r="41" spans="1:25" ht="16.5" customHeight="1" thickTop="1" x14ac:dyDescent="0.3">
      <c r="A41" s="166" t="s">
        <v>370</v>
      </c>
      <c r="B41" s="167"/>
      <c r="C41" s="168"/>
      <c r="D41" s="169"/>
      <c r="E41" s="170">
        <f>E15-E40</f>
        <v>21.765987499999824</v>
      </c>
      <c r="F41" s="171"/>
      <c r="G41" s="29"/>
      <c r="U41" s="270"/>
      <c r="V41" s="270"/>
      <c r="W41" s="270"/>
      <c r="X41" s="270"/>
      <c r="Y41" s="270"/>
    </row>
    <row r="42" spans="1:25" ht="16.5" customHeight="1" x14ac:dyDescent="0.3">
      <c r="A42" s="172"/>
      <c r="B42" s="138"/>
      <c r="C42" s="173"/>
      <c r="D42" s="174"/>
      <c r="E42" s="175"/>
      <c r="F42" s="135"/>
      <c r="G42" s="29"/>
      <c r="I42" s="271" t="s">
        <v>497</v>
      </c>
      <c r="J42" s="271"/>
      <c r="K42" s="271"/>
      <c r="L42" s="271"/>
      <c r="M42" s="271"/>
      <c r="U42" s="270"/>
      <c r="V42" s="270"/>
      <c r="W42" s="270"/>
      <c r="X42" s="270"/>
      <c r="Y42" s="270"/>
    </row>
    <row r="43" spans="1:25" ht="16.5" customHeight="1" x14ac:dyDescent="0.3">
      <c r="A43" s="176" t="s">
        <v>373</v>
      </c>
      <c r="B43" s="138"/>
      <c r="C43" s="173"/>
      <c r="D43" s="174"/>
      <c r="E43" s="143" t="s">
        <v>35</v>
      </c>
      <c r="F43" s="144"/>
      <c r="G43" s="29"/>
      <c r="I43" s="132" t="s">
        <v>424</v>
      </c>
      <c r="J43" s="132" t="s">
        <v>436</v>
      </c>
      <c r="K43" s="162" t="s">
        <v>434</v>
      </c>
      <c r="L43" s="132" t="s">
        <v>432</v>
      </c>
      <c r="M43" s="93" t="s">
        <v>404</v>
      </c>
    </row>
    <row r="44" spans="1:25" ht="16.5" customHeight="1" x14ac:dyDescent="0.3">
      <c r="A44" s="177" t="s">
        <v>256</v>
      </c>
      <c r="B44" s="105"/>
      <c r="C44" s="227" t="s">
        <v>566</v>
      </c>
      <c r="D44" s="160"/>
      <c r="E44" s="70">
        <v>12</v>
      </c>
      <c r="F44" s="32">
        <f t="shared" ref="F44:F50" si="1">E44</f>
        <v>12</v>
      </c>
      <c r="G44" s="29"/>
      <c r="I44" s="100" t="s">
        <v>60</v>
      </c>
      <c r="J44" s="100" t="s">
        <v>60</v>
      </c>
      <c r="K44" s="100" t="s">
        <v>60</v>
      </c>
      <c r="L44" s="100" t="s">
        <v>60</v>
      </c>
      <c r="M44" s="93"/>
      <c r="U44" s="221" t="s">
        <v>516</v>
      </c>
      <c r="V44" s="2"/>
      <c r="W44" s="2"/>
      <c r="X44" s="222"/>
    </row>
    <row r="45" spans="1:25" ht="16.5" customHeight="1" x14ac:dyDescent="0.3">
      <c r="A45" s="109" t="s">
        <v>169</v>
      </c>
      <c r="B45" s="105"/>
      <c r="C45" s="227" t="s">
        <v>567</v>
      </c>
      <c r="D45" s="160"/>
      <c r="E45" s="70">
        <v>143</v>
      </c>
      <c r="F45" s="32">
        <f t="shared" si="1"/>
        <v>143</v>
      </c>
      <c r="G45" s="29"/>
      <c r="I45" s="36" t="s">
        <v>16</v>
      </c>
      <c r="J45" s="35">
        <v>200</v>
      </c>
      <c r="K45" s="55" t="s">
        <v>439</v>
      </c>
      <c r="L45" s="36">
        <v>20</v>
      </c>
      <c r="M45" s="39">
        <f>IFERROR(J45/(_xlfn.XLOOKUP(K45,$S$33:$S$37,$R$33:$R$37))*L45,0)</f>
        <v>31.25</v>
      </c>
      <c r="U45" s="228" t="s">
        <v>517</v>
      </c>
      <c r="V45" s="223" t="s">
        <v>573</v>
      </c>
      <c r="W45" s="2"/>
    </row>
    <row r="46" spans="1:25" ht="16.5" customHeight="1" x14ac:dyDescent="0.3">
      <c r="A46" s="109" t="s">
        <v>471</v>
      </c>
      <c r="B46" s="105"/>
      <c r="C46" s="227" t="s">
        <v>568</v>
      </c>
      <c r="D46" s="160"/>
      <c r="E46" s="70">
        <v>8</v>
      </c>
      <c r="F46" s="32">
        <f t="shared" si="1"/>
        <v>8</v>
      </c>
      <c r="G46" s="29"/>
      <c r="I46" s="36" t="s">
        <v>553</v>
      </c>
      <c r="J46" s="35">
        <v>49</v>
      </c>
      <c r="K46" s="55" t="s">
        <v>440</v>
      </c>
      <c r="L46" s="36">
        <v>1</v>
      </c>
      <c r="M46" s="39">
        <f t="shared" ref="M46" si="2">IFERROR(J46/(_xlfn.XLOOKUP(K46,$S$33:$S$37,$R$33:$R$37))*L46,0)</f>
        <v>12.25</v>
      </c>
      <c r="U46" s="228" t="s">
        <v>518</v>
      </c>
      <c r="V46" s="8" t="s">
        <v>574</v>
      </c>
      <c r="W46" s="221"/>
      <c r="X46" s="222"/>
    </row>
    <row r="47" spans="1:25" ht="16.5" customHeight="1" x14ac:dyDescent="0.3">
      <c r="A47" s="109" t="s">
        <v>470</v>
      </c>
      <c r="B47" s="105"/>
      <c r="C47" s="227" t="s">
        <v>569</v>
      </c>
      <c r="D47" s="160"/>
      <c r="E47" s="70">
        <v>55</v>
      </c>
      <c r="F47" s="32">
        <f t="shared" si="1"/>
        <v>55</v>
      </c>
      <c r="G47" s="29"/>
      <c r="I47" s="36" t="s">
        <v>584</v>
      </c>
      <c r="J47" s="35">
        <v>31.98</v>
      </c>
      <c r="K47" s="55" t="s">
        <v>439</v>
      </c>
      <c r="L47" s="36">
        <v>20</v>
      </c>
      <c r="M47" s="39">
        <f>IFERROR(J47/(_xlfn.XLOOKUP(K47,$S$33:$S$37,$R$33:$R$37))*L47,0)</f>
        <v>4.9968750000000002</v>
      </c>
      <c r="U47" s="228" t="s">
        <v>519</v>
      </c>
      <c r="V47" s="231" t="s">
        <v>575</v>
      </c>
      <c r="X47" s="222"/>
    </row>
    <row r="48" spans="1:25" ht="16.5" customHeight="1" x14ac:dyDescent="0.3">
      <c r="A48" s="109" t="s">
        <v>366</v>
      </c>
      <c r="B48" s="105"/>
      <c r="C48" s="227" t="s">
        <v>400</v>
      </c>
      <c r="D48" s="160"/>
      <c r="E48" s="69">
        <v>6</v>
      </c>
      <c r="F48" s="32">
        <f t="shared" si="1"/>
        <v>6</v>
      </c>
      <c r="G48" s="29"/>
      <c r="I48" s="36" t="s">
        <v>366</v>
      </c>
      <c r="J48" s="35">
        <v>0</v>
      </c>
      <c r="K48" s="55" t="s">
        <v>441</v>
      </c>
      <c r="L48" s="36">
        <v>0</v>
      </c>
      <c r="M48" s="39">
        <f>IFERROR(J48/(_xlfn.XLOOKUP(K48,$S$33:$S$37,$R$33:$R$37))*L48,0)</f>
        <v>0</v>
      </c>
      <c r="U48" s="221" t="s">
        <v>536</v>
      </c>
      <c r="V48" s="224">
        <v>67</v>
      </c>
      <c r="X48" s="222"/>
    </row>
    <row r="49" spans="1:24" ht="16.5" customHeight="1" x14ac:dyDescent="0.3">
      <c r="A49" s="72" t="s">
        <v>475</v>
      </c>
      <c r="B49" s="105"/>
      <c r="C49" s="74"/>
      <c r="D49" s="160"/>
      <c r="E49" s="69">
        <v>0</v>
      </c>
      <c r="F49" s="32">
        <f t="shared" si="1"/>
        <v>0</v>
      </c>
      <c r="G49" s="29"/>
      <c r="I49" s="36" t="s">
        <v>366</v>
      </c>
      <c r="J49" s="35">
        <v>0</v>
      </c>
      <c r="K49" s="55" t="s">
        <v>441</v>
      </c>
      <c r="L49" s="36">
        <v>0</v>
      </c>
      <c r="M49" s="39">
        <f>IFERROR(J49/(_xlfn.XLOOKUP(K49,$S$33:$S$37,$R$33:$R$37))*L49,0)</f>
        <v>0</v>
      </c>
      <c r="U49" s="228" t="s">
        <v>520</v>
      </c>
      <c r="V49" s="8">
        <v>5.6</v>
      </c>
      <c r="W49" s="7"/>
      <c r="X49" s="222"/>
    </row>
    <row r="50" spans="1:24" ht="16.5" customHeight="1" x14ac:dyDescent="0.3">
      <c r="A50" s="73" t="s">
        <v>475</v>
      </c>
      <c r="B50" s="105"/>
      <c r="C50" s="74"/>
      <c r="D50" s="160"/>
      <c r="E50" s="69">
        <v>0</v>
      </c>
      <c r="F50" s="32">
        <f t="shared" si="1"/>
        <v>0</v>
      </c>
      <c r="G50" s="29"/>
      <c r="U50" s="228" t="s">
        <v>521</v>
      </c>
      <c r="V50" s="8">
        <v>6.5</v>
      </c>
      <c r="W50" s="7"/>
      <c r="X50" s="7"/>
    </row>
    <row r="51" spans="1:24" ht="16.5" customHeight="1" x14ac:dyDescent="0.3">
      <c r="A51" s="178" t="s">
        <v>375</v>
      </c>
      <c r="B51" s="179"/>
      <c r="C51" s="19"/>
      <c r="D51" s="26"/>
      <c r="E51" s="62">
        <f>SUM(E44:E50)</f>
        <v>224</v>
      </c>
      <c r="F51" s="32">
        <f>E50</f>
        <v>0</v>
      </c>
      <c r="G51" s="29"/>
      <c r="I51" s="10" t="s">
        <v>32</v>
      </c>
      <c r="J51" s="35">
        <v>28.86</v>
      </c>
      <c r="K51" s="55" t="s">
        <v>438</v>
      </c>
      <c r="L51" s="36">
        <v>1.5</v>
      </c>
      <c r="M51" s="39">
        <f>IFERROR(J51/(_xlfn.XLOOKUP(K51,$S$33:$S$37,$R$33:$R$37))*L51,0)</f>
        <v>2.7056249999999999</v>
      </c>
      <c r="U51" s="228" t="s">
        <v>522</v>
      </c>
      <c r="V51" s="8" t="s">
        <v>579</v>
      </c>
      <c r="W51" s="7"/>
      <c r="X51" s="7"/>
    </row>
    <row r="52" spans="1:24" ht="16.5" customHeight="1" thickBot="1" x14ac:dyDescent="0.35">
      <c r="A52" s="180" t="s">
        <v>376</v>
      </c>
      <c r="B52" s="164"/>
      <c r="C52" s="20"/>
      <c r="D52" s="22"/>
      <c r="E52" s="25">
        <f>E40+E51</f>
        <v>919.98401250000006</v>
      </c>
      <c r="F52" s="165"/>
      <c r="G52" s="17"/>
      <c r="I52" s="10" t="s">
        <v>67</v>
      </c>
      <c r="J52" s="35">
        <v>0</v>
      </c>
      <c r="K52" s="55" t="s">
        <v>441</v>
      </c>
      <c r="L52" s="36">
        <v>0</v>
      </c>
      <c r="M52" s="39">
        <f t="shared" ref="M52:M55" si="3">IFERROR(J52/(_xlfn.XLOOKUP(K52,$S$33:$S$37,$R$33:$R$37))*L52,0)</f>
        <v>0</v>
      </c>
      <c r="U52" s="228" t="s">
        <v>523</v>
      </c>
      <c r="V52" s="8" t="s">
        <v>580</v>
      </c>
      <c r="W52" s="7"/>
      <c r="X52" s="7"/>
    </row>
    <row r="53" spans="1:24" ht="16.5" customHeight="1" thickTop="1" x14ac:dyDescent="0.3">
      <c r="A53" s="181" t="s">
        <v>388</v>
      </c>
      <c r="B53" s="167"/>
      <c r="C53" s="182"/>
      <c r="D53" s="128"/>
      <c r="E53" s="183">
        <f>E15-E52</f>
        <v>-202.23401250000018</v>
      </c>
      <c r="F53" s="171"/>
      <c r="G53" s="17"/>
      <c r="I53" s="10" t="s">
        <v>70</v>
      </c>
      <c r="J53" s="35">
        <v>0</v>
      </c>
      <c r="K53" s="55" t="s">
        <v>441</v>
      </c>
      <c r="L53" s="36">
        <v>0</v>
      </c>
      <c r="M53" s="39">
        <f t="shared" si="3"/>
        <v>0</v>
      </c>
      <c r="N53" s="161"/>
      <c r="U53" s="228" t="s">
        <v>524</v>
      </c>
      <c r="V53" s="6"/>
      <c r="W53" s="8" t="s">
        <v>570</v>
      </c>
      <c r="X53" s="7"/>
    </row>
    <row r="54" spans="1:24" ht="16.5" customHeight="1" x14ac:dyDescent="0.3">
      <c r="A54" s="184"/>
      <c r="B54" s="138"/>
      <c r="C54" s="185"/>
      <c r="D54" s="185"/>
      <c r="E54" s="186"/>
      <c r="F54" s="187"/>
      <c r="G54" s="188"/>
      <c r="I54" s="10" t="s">
        <v>71</v>
      </c>
      <c r="J54" s="35">
        <v>0</v>
      </c>
      <c r="K54" s="55" t="s">
        <v>441</v>
      </c>
      <c r="L54" s="36">
        <v>0</v>
      </c>
      <c r="M54" s="39">
        <f t="shared" si="3"/>
        <v>0</v>
      </c>
      <c r="U54" s="228" t="s">
        <v>525</v>
      </c>
      <c r="V54" s="8" t="s">
        <v>571</v>
      </c>
      <c r="W54" s="7"/>
      <c r="X54" s="7"/>
    </row>
    <row r="55" spans="1:24" ht="16.5" customHeight="1" x14ac:dyDescent="0.3">
      <c r="A55" s="189" t="s">
        <v>363</v>
      </c>
      <c r="B55" s="190"/>
      <c r="C55" s="190"/>
      <c r="D55" s="190"/>
      <c r="E55" s="190"/>
      <c r="F55" s="191"/>
      <c r="G55" s="192"/>
      <c r="I55" s="10" t="s">
        <v>69</v>
      </c>
      <c r="J55" s="35">
        <v>0</v>
      </c>
      <c r="K55" s="55" t="s">
        <v>441</v>
      </c>
      <c r="L55" s="36">
        <v>0</v>
      </c>
      <c r="M55" s="39">
        <f t="shared" si="3"/>
        <v>0</v>
      </c>
      <c r="U55" s="228" t="s">
        <v>526</v>
      </c>
      <c r="V55" s="6"/>
      <c r="W55" s="229">
        <v>7</v>
      </c>
      <c r="X55" s="7"/>
    </row>
    <row r="56" spans="1:24" ht="16.5" customHeight="1" x14ac:dyDescent="0.3">
      <c r="A56" s="193"/>
      <c r="B56" s="194"/>
      <c r="C56" s="195"/>
      <c r="D56" s="195"/>
      <c r="E56" s="195"/>
      <c r="F56" s="196"/>
      <c r="G56" s="197"/>
      <c r="I56" s="10" t="s">
        <v>499</v>
      </c>
      <c r="J56" s="35">
        <v>0</v>
      </c>
      <c r="K56" s="55" t="s">
        <v>441</v>
      </c>
      <c r="L56" s="36">
        <v>0</v>
      </c>
      <c r="M56" s="39">
        <f>IFERROR(J56/(_xlfn.XLOOKUP(K56,$S$33:$S$37,$R$33:$R$37))*L56,0)</f>
        <v>0</v>
      </c>
      <c r="U56" s="275" t="s">
        <v>527</v>
      </c>
      <c r="V56" s="275"/>
      <c r="W56" s="275"/>
      <c r="X56" s="7"/>
    </row>
    <row r="57" spans="1:24" ht="16.5" customHeight="1" x14ac:dyDescent="0.3">
      <c r="A57" s="176" t="s">
        <v>389</v>
      </c>
      <c r="B57" s="198"/>
      <c r="C57" s="195"/>
      <c r="D57" s="195"/>
      <c r="E57" s="195"/>
      <c r="F57" s="199"/>
      <c r="G57" s="17"/>
      <c r="I57" s="65" t="s">
        <v>500</v>
      </c>
      <c r="J57" s="35">
        <v>0</v>
      </c>
      <c r="K57" s="55" t="s">
        <v>441</v>
      </c>
      <c r="L57" s="36">
        <v>0</v>
      </c>
      <c r="M57" s="39">
        <f t="shared" ref="M57" si="4">IFERROR(J57/(_xlfn.XLOOKUP(K57,$S$33:$S$37,$R$33:$R$37))*L57,0)</f>
        <v>0</v>
      </c>
      <c r="U57" s="230" t="s">
        <v>442</v>
      </c>
      <c r="V57" s="230" t="s">
        <v>528</v>
      </c>
      <c r="W57" s="230" t="s">
        <v>529</v>
      </c>
      <c r="X57" s="7"/>
    </row>
    <row r="58" spans="1:24" ht="16.5" customHeight="1" x14ac:dyDescent="0.3">
      <c r="A58" s="200" t="s">
        <v>394</v>
      </c>
      <c r="B58" s="201"/>
      <c r="C58" s="202"/>
      <c r="D58" s="202"/>
      <c r="E58" s="138">
        <f>E52/E9</f>
        <v>5.5756606818181824</v>
      </c>
      <c r="F58" s="203" t="s">
        <v>395</v>
      </c>
      <c r="G58" s="17"/>
      <c r="U58" s="229">
        <v>5.4</v>
      </c>
      <c r="V58" s="8">
        <v>19</v>
      </c>
      <c r="W58" s="8">
        <v>75.599999999999994</v>
      </c>
      <c r="X58" s="7"/>
    </row>
    <row r="59" spans="1:24" ht="16.5" customHeight="1" thickBot="1" x14ac:dyDescent="0.35">
      <c r="A59" s="204" t="s">
        <v>362</v>
      </c>
      <c r="B59" s="205"/>
      <c r="C59" s="206"/>
      <c r="D59" s="206"/>
      <c r="E59" s="207">
        <f>E52/E8</f>
        <v>211.49057758620694</v>
      </c>
      <c r="F59" s="208" t="s">
        <v>443</v>
      </c>
      <c r="G59" s="17"/>
      <c r="I59" s="271" t="s">
        <v>498</v>
      </c>
      <c r="J59" s="271"/>
      <c r="K59" s="271"/>
      <c r="L59" s="271"/>
      <c r="M59" s="271"/>
      <c r="U59" s="228" t="s">
        <v>530</v>
      </c>
      <c r="V59" s="6"/>
      <c r="W59" s="229">
        <v>3</v>
      </c>
      <c r="X59" s="7"/>
    </row>
    <row r="60" spans="1:24" ht="16.5" customHeight="1" x14ac:dyDescent="0.3">
      <c r="A60" s="89"/>
      <c r="B60" s="89"/>
      <c r="C60" s="89"/>
      <c r="D60" s="89"/>
      <c r="E60" s="89"/>
      <c r="F60" s="89"/>
      <c r="G60" s="17"/>
      <c r="I60" s="132" t="s">
        <v>424</v>
      </c>
      <c r="J60" s="132" t="s">
        <v>436</v>
      </c>
      <c r="K60" s="162" t="s">
        <v>434</v>
      </c>
      <c r="L60" s="132" t="s">
        <v>432</v>
      </c>
      <c r="M60" s="93" t="s">
        <v>404</v>
      </c>
      <c r="U60" s="7"/>
      <c r="V60" s="7"/>
      <c r="W60" s="7"/>
      <c r="X60" s="7"/>
    </row>
    <row r="61" spans="1:24" ht="16.5" customHeight="1" x14ac:dyDescent="0.3">
      <c r="A61" s="151" t="s">
        <v>446</v>
      </c>
      <c r="G61" s="17"/>
      <c r="I61" s="100" t="s">
        <v>60</v>
      </c>
      <c r="J61" s="100" t="s">
        <v>60</v>
      </c>
      <c r="K61" s="100" t="s">
        <v>60</v>
      </c>
      <c r="L61" s="100" t="s">
        <v>60</v>
      </c>
      <c r="M61" s="93"/>
      <c r="U61" s="275" t="s">
        <v>531</v>
      </c>
      <c r="V61" s="275"/>
      <c r="W61" s="275"/>
      <c r="X61" s="275"/>
    </row>
    <row r="62" spans="1:24" ht="16.5" customHeight="1" x14ac:dyDescent="0.3">
      <c r="A62" s="151" t="s">
        <v>447</v>
      </c>
      <c r="G62" s="17"/>
      <c r="I62" s="36" t="s">
        <v>366</v>
      </c>
      <c r="J62" s="35">
        <v>0</v>
      </c>
      <c r="K62" s="55" t="s">
        <v>441</v>
      </c>
      <c r="L62" s="36">
        <v>0</v>
      </c>
      <c r="M62" s="39">
        <f>IFERROR(J62/(_xlfn.XLOOKUP(K62,$S$33:$S$37,$R$33:$R$37))*L62,0)</f>
        <v>0</v>
      </c>
      <c r="U62" s="228" t="s">
        <v>0</v>
      </c>
      <c r="V62" s="275" t="s">
        <v>532</v>
      </c>
      <c r="W62" s="275"/>
      <c r="X62" s="228" t="s">
        <v>413</v>
      </c>
    </row>
    <row r="63" spans="1:24" ht="16.5" customHeight="1" x14ac:dyDescent="0.3">
      <c r="A63" s="209"/>
      <c r="B63" s="151"/>
      <c r="C63" s="151"/>
      <c r="D63" s="151"/>
      <c r="E63" s="151"/>
      <c r="F63" s="151"/>
      <c r="G63" s="21"/>
      <c r="I63" s="36" t="s">
        <v>366</v>
      </c>
      <c r="J63" s="35">
        <v>0</v>
      </c>
      <c r="K63" s="55" t="s">
        <v>441</v>
      </c>
      <c r="L63" s="36">
        <v>0</v>
      </c>
      <c r="M63" s="39">
        <f t="shared" ref="M63:M64" si="5">IFERROR(J63/(_xlfn.XLOOKUP(K63,$S$33:$S$37,$R$33:$R$37))*L63,0)</f>
        <v>0</v>
      </c>
      <c r="U63" s="6" t="s">
        <v>533</v>
      </c>
      <c r="V63" s="276" t="s">
        <v>533</v>
      </c>
      <c r="W63" s="276"/>
      <c r="X63" s="6" t="s">
        <v>533</v>
      </c>
    </row>
    <row r="64" spans="1:24" ht="16.5" customHeight="1" x14ac:dyDescent="0.3">
      <c r="A64" s="209"/>
      <c r="B64" s="151"/>
      <c r="C64" s="151"/>
      <c r="D64" s="151"/>
      <c r="E64" s="151"/>
      <c r="F64" s="151"/>
      <c r="G64" s="21"/>
      <c r="I64" s="36" t="s">
        <v>366</v>
      </c>
      <c r="J64" s="35">
        <v>0</v>
      </c>
      <c r="K64" s="55" t="s">
        <v>441</v>
      </c>
      <c r="L64" s="36">
        <v>0</v>
      </c>
      <c r="M64" s="39">
        <f t="shared" si="5"/>
        <v>0</v>
      </c>
      <c r="O64" s="2"/>
      <c r="U64" s="8">
        <v>120</v>
      </c>
      <c r="V64" s="276">
        <v>85</v>
      </c>
      <c r="W64" s="276"/>
      <c r="X64" s="42">
        <v>65</v>
      </c>
    </row>
    <row r="65" spans="1:25" ht="16.5" customHeight="1" x14ac:dyDescent="0.3">
      <c r="G65" s="21"/>
      <c r="J65" s="7"/>
      <c r="K65" s="7"/>
      <c r="L65" s="7"/>
      <c r="O65" s="2"/>
      <c r="U65" s="7"/>
      <c r="V65" s="7"/>
      <c r="W65" s="7"/>
      <c r="X65" s="7"/>
    </row>
    <row r="66" spans="1:25" ht="16.5" customHeight="1" x14ac:dyDescent="0.3">
      <c r="A66" s="211"/>
      <c r="B66" s="146"/>
      <c r="C66" s="146"/>
      <c r="D66" s="146"/>
      <c r="E66" s="146"/>
      <c r="G66" s="21"/>
      <c r="I66" s="10" t="s">
        <v>32</v>
      </c>
      <c r="J66" s="35">
        <v>0</v>
      </c>
      <c r="K66" s="55" t="s">
        <v>441</v>
      </c>
      <c r="L66" s="36">
        <v>0</v>
      </c>
      <c r="M66" s="39">
        <f>IFERROR(J66/(_xlfn.XLOOKUP(K66,$S$33:$S$37,$R$33:$R$37))*L66,0)</f>
        <v>0</v>
      </c>
      <c r="O66" s="2"/>
      <c r="U66" s="228" t="s">
        <v>534</v>
      </c>
      <c r="V66" s="6"/>
      <c r="W66" s="6" t="s">
        <v>572</v>
      </c>
      <c r="X66" s="7"/>
    </row>
    <row r="67" spans="1:25" ht="16.5" customHeight="1" x14ac:dyDescent="0.3">
      <c r="F67" s="146"/>
      <c r="G67" s="21"/>
      <c r="I67" s="10" t="s">
        <v>67</v>
      </c>
      <c r="J67" s="35">
        <v>0</v>
      </c>
      <c r="K67" s="55" t="s">
        <v>441</v>
      </c>
      <c r="L67" s="36">
        <v>0</v>
      </c>
      <c r="M67" s="39">
        <f t="shared" ref="M67:M70" si="6">IFERROR(J67/(_xlfn.XLOOKUP(K67,$S$33:$S$37,$R$33:$R$37))*L67,0)</f>
        <v>0</v>
      </c>
      <c r="O67" s="2"/>
    </row>
    <row r="68" spans="1:25" ht="16.5" customHeight="1" x14ac:dyDescent="0.3">
      <c r="G68" s="21"/>
      <c r="I68" s="10" t="s">
        <v>70</v>
      </c>
      <c r="J68" s="35">
        <v>0</v>
      </c>
      <c r="K68" s="55" t="s">
        <v>441</v>
      </c>
      <c r="L68" s="36">
        <v>0</v>
      </c>
      <c r="M68" s="39">
        <f t="shared" si="6"/>
        <v>0</v>
      </c>
      <c r="O68" s="2"/>
      <c r="U68" s="263" t="s">
        <v>628</v>
      </c>
      <c r="V68" s="263"/>
      <c r="W68" s="263"/>
      <c r="X68" s="263"/>
      <c r="Y68" s="263"/>
    </row>
    <row r="69" spans="1:25" ht="16.5" customHeight="1" x14ac:dyDescent="0.3">
      <c r="G69" s="21"/>
      <c r="I69" s="10" t="s">
        <v>71</v>
      </c>
      <c r="J69" s="35">
        <v>0</v>
      </c>
      <c r="K69" s="55" t="s">
        <v>441</v>
      </c>
      <c r="L69" s="36">
        <v>0</v>
      </c>
      <c r="M69" s="39">
        <f t="shared" si="6"/>
        <v>0</v>
      </c>
      <c r="O69" s="2"/>
      <c r="U69" s="263"/>
      <c r="V69" s="263"/>
      <c r="W69" s="263"/>
      <c r="X69" s="263"/>
      <c r="Y69" s="263"/>
    </row>
    <row r="70" spans="1:25" ht="16.5" customHeight="1" x14ac:dyDescent="0.3">
      <c r="G70" s="21"/>
      <c r="I70" s="10" t="s">
        <v>69</v>
      </c>
      <c r="J70" s="35">
        <v>0</v>
      </c>
      <c r="K70" s="55" t="s">
        <v>441</v>
      </c>
      <c r="L70" s="36">
        <v>0</v>
      </c>
      <c r="M70" s="39">
        <f t="shared" si="6"/>
        <v>0</v>
      </c>
      <c r="O70" s="2"/>
      <c r="U70" s="263"/>
      <c r="V70" s="263"/>
      <c r="W70" s="263"/>
      <c r="X70" s="263"/>
      <c r="Y70" s="263"/>
    </row>
    <row r="71" spans="1:25" ht="16.5" customHeight="1" x14ac:dyDescent="0.3">
      <c r="G71" s="21"/>
      <c r="I71" s="10" t="s">
        <v>499</v>
      </c>
      <c r="J71" s="35">
        <v>0</v>
      </c>
      <c r="K71" s="55" t="s">
        <v>440</v>
      </c>
      <c r="L71" s="36">
        <v>0</v>
      </c>
      <c r="M71" s="39">
        <f>IFERROR(J71/(_xlfn.XLOOKUP(K71,$S$33:$S$37,$R$33:$R$37))*L71,0)</f>
        <v>0</v>
      </c>
    </row>
    <row r="72" spans="1:25" ht="16.5" customHeight="1" x14ac:dyDescent="0.3">
      <c r="G72" s="21"/>
      <c r="I72" s="65" t="s">
        <v>500</v>
      </c>
      <c r="J72" s="35">
        <v>0</v>
      </c>
      <c r="K72" s="55" t="s">
        <v>441</v>
      </c>
      <c r="L72" s="36">
        <v>0</v>
      </c>
      <c r="M72" s="39">
        <f t="shared" ref="M72" si="7">IFERROR(J72/(_xlfn.XLOOKUP(K72,$S$33:$S$37,$R$33:$R$37))*L72,0)</f>
        <v>0</v>
      </c>
    </row>
    <row r="73" spans="1:25" ht="16.5" customHeight="1" x14ac:dyDescent="0.3">
      <c r="G73" s="21"/>
    </row>
    <row r="74" spans="1:25" ht="16.5" customHeight="1" x14ac:dyDescent="0.3">
      <c r="G74" s="21"/>
      <c r="I74" s="132" t="s">
        <v>625</v>
      </c>
      <c r="J74" s="132" t="s">
        <v>627</v>
      </c>
      <c r="K74" s="162"/>
      <c r="L74" s="132" t="s">
        <v>626</v>
      </c>
      <c r="M74" s="93" t="s">
        <v>404</v>
      </c>
    </row>
    <row r="75" spans="1:25" ht="16.5" customHeight="1" x14ac:dyDescent="0.3">
      <c r="G75" s="21"/>
      <c r="I75" s="117" t="s">
        <v>629</v>
      </c>
      <c r="J75" s="35">
        <v>6.65</v>
      </c>
      <c r="K75" s="37"/>
      <c r="L75" s="36">
        <v>1</v>
      </c>
      <c r="M75" s="39">
        <f>J75*L75</f>
        <v>6.65</v>
      </c>
    </row>
    <row r="76" spans="1:25" ht="16.5" customHeight="1" x14ac:dyDescent="0.3">
      <c r="G76" s="21"/>
      <c r="I76" s="117" t="s">
        <v>168</v>
      </c>
      <c r="J76" s="35">
        <v>10</v>
      </c>
      <c r="K76" s="37"/>
      <c r="L76" s="36">
        <v>0</v>
      </c>
      <c r="M76" s="39">
        <f>J76*L76</f>
        <v>0</v>
      </c>
      <c r="N76" s="44"/>
    </row>
    <row r="77" spans="1:25" ht="16.5" customHeight="1" x14ac:dyDescent="0.3">
      <c r="G77" s="21"/>
      <c r="N77" s="37"/>
    </row>
    <row r="78" spans="1:25" ht="16.5" customHeight="1" x14ac:dyDescent="0.3">
      <c r="G78" s="21"/>
      <c r="L78" s="152" t="s">
        <v>431</v>
      </c>
      <c r="M78" s="153">
        <f>SUM(M45:M76)</f>
        <v>57.852499999999999</v>
      </c>
    </row>
    <row r="79" spans="1:25" ht="16.5" customHeight="1" x14ac:dyDescent="0.3">
      <c r="G79" s="21"/>
    </row>
    <row r="80" spans="1:25" ht="16.5" customHeight="1" x14ac:dyDescent="0.3">
      <c r="G80" s="21"/>
    </row>
    <row r="81" spans="7:13" ht="16.5" customHeight="1" x14ac:dyDescent="0.3">
      <c r="G81" s="21"/>
    </row>
    <row r="82" spans="7:13" ht="16.5" customHeight="1" x14ac:dyDescent="0.3">
      <c r="G82" s="21"/>
    </row>
    <row r="83" spans="7:13" ht="16.5" customHeight="1" x14ac:dyDescent="0.3">
      <c r="G83" s="21"/>
    </row>
    <row r="84" spans="7:13" ht="16.5" customHeight="1" x14ac:dyDescent="0.3">
      <c r="G84" s="21"/>
      <c r="I84" s="44"/>
      <c r="J84" s="44"/>
      <c r="K84" s="44"/>
      <c r="L84" s="44"/>
      <c r="M84" s="44"/>
    </row>
    <row r="85" spans="7:13" ht="16.5" customHeight="1" x14ac:dyDescent="0.3">
      <c r="G85" s="21"/>
      <c r="I85" s="44"/>
      <c r="J85" s="44"/>
      <c r="K85" s="44"/>
      <c r="L85" s="44"/>
      <c r="M85" s="44"/>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2"/>
    </row>
    <row r="110" spans="7:7" ht="16.5" hidden="1" customHeight="1" x14ac:dyDescent="0.3">
      <c r="G110" s="212"/>
    </row>
    <row r="111" spans="7:7" ht="8.1" hidden="1" customHeight="1" x14ac:dyDescent="0.3">
      <c r="G111" s="212"/>
    </row>
    <row r="112" spans="7:7" ht="16.5" hidden="1" customHeight="1" x14ac:dyDescent="0.3">
      <c r="G112" s="212"/>
    </row>
    <row r="113" spans="1:7" ht="16.5" hidden="1" customHeight="1" x14ac:dyDescent="0.3">
      <c r="G113" s="212"/>
    </row>
    <row r="114" spans="1:7" ht="16.5" hidden="1" customHeight="1" x14ac:dyDescent="0.3">
      <c r="G114" s="212"/>
    </row>
    <row r="115" spans="1:7" ht="6.75" hidden="1" customHeight="1" x14ac:dyDescent="0.3">
      <c r="G115" s="213"/>
    </row>
    <row r="116" spans="1:7" ht="16.5" hidden="1" customHeight="1" x14ac:dyDescent="0.3">
      <c r="G116" s="213"/>
    </row>
    <row r="117" spans="1:7" ht="16.5" hidden="1" customHeight="1" x14ac:dyDescent="0.3">
      <c r="G117" s="213"/>
    </row>
    <row r="118" spans="1:7" ht="16.5" hidden="1" customHeight="1" x14ac:dyDescent="0.3">
      <c r="A118" s="214"/>
      <c r="B118" s="215"/>
      <c r="C118" s="215"/>
      <c r="D118" s="215"/>
      <c r="E118" s="215"/>
      <c r="G118" s="213"/>
    </row>
    <row r="119" spans="1:7" ht="16.5" hidden="1" customHeight="1" x14ac:dyDescent="0.3">
      <c r="F119" s="215"/>
      <c r="G119" s="201"/>
    </row>
    <row r="120" spans="1:7" ht="16.5" hidden="1" customHeight="1" x14ac:dyDescent="0.3">
      <c r="G120" s="216"/>
    </row>
    <row r="121" spans="1:7" ht="16.5" hidden="1" customHeight="1" x14ac:dyDescent="0.3">
      <c r="G121" s="201"/>
    </row>
    <row r="122" spans="1:7" ht="16.5" hidden="1" customHeight="1" x14ac:dyDescent="0.3">
      <c r="G122" s="217"/>
    </row>
    <row r="123" spans="1:7" ht="16.5" hidden="1" customHeight="1" x14ac:dyDescent="0.3">
      <c r="G123" s="218"/>
    </row>
    <row r="124" spans="1:7" ht="16.5" hidden="1" customHeight="1" x14ac:dyDescent="0.3">
      <c r="G124" s="219"/>
    </row>
    <row r="125" spans="1:7" ht="16.5" hidden="1" customHeight="1" x14ac:dyDescent="0.3">
      <c r="G125" s="218"/>
    </row>
    <row r="126" spans="1:7" ht="16.5" hidden="1" customHeight="1" x14ac:dyDescent="0.3">
      <c r="G126" s="219"/>
    </row>
    <row r="127" spans="1:7" ht="16.5" hidden="1" customHeight="1" x14ac:dyDescent="0.3">
      <c r="G127" s="220"/>
    </row>
    <row r="128" spans="1:7" ht="16.5" hidden="1" customHeight="1" x14ac:dyDescent="0.3">
      <c r="G128" s="213"/>
    </row>
    <row r="129" spans="7:7" ht="18.75" hidden="1" customHeight="1" x14ac:dyDescent="0.3">
      <c r="G129" s="66"/>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6"/>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pans="9:13" s="210" customFormat="1" hidden="1" x14ac:dyDescent="0.3">
      <c r="I145" s="10"/>
      <c r="J145" s="10"/>
      <c r="K145" s="10"/>
      <c r="L145" s="10"/>
      <c r="M145" s="10"/>
    </row>
    <row r="146" spans="9:13" s="210" customFormat="1" hidden="1" x14ac:dyDescent="0.3">
      <c r="I146" s="10"/>
      <c r="J146" s="10"/>
      <c r="K146" s="10"/>
      <c r="L146" s="10"/>
      <c r="M146" s="10"/>
    </row>
    <row r="147" spans="9:13" s="210" customFormat="1" hidden="1" x14ac:dyDescent="0.3">
      <c r="I147" s="10"/>
      <c r="J147" s="10"/>
      <c r="K147" s="10"/>
      <c r="L147" s="10"/>
      <c r="M147" s="10"/>
    </row>
    <row r="148" spans="9:13" s="210" customFormat="1" hidden="1" x14ac:dyDescent="0.3">
      <c r="I148" s="10"/>
      <c r="J148" s="10"/>
      <c r="K148" s="10"/>
      <c r="L148" s="10"/>
      <c r="M148" s="10"/>
    </row>
    <row r="149" spans="9:13" s="210" customFormat="1" hidden="1" x14ac:dyDescent="0.3">
      <c r="I149" s="10"/>
      <c r="J149" s="10"/>
      <c r="K149" s="10"/>
      <c r="L149" s="10"/>
      <c r="M149" s="10"/>
    </row>
    <row r="150" spans="9:13" s="210" customFormat="1" hidden="1" x14ac:dyDescent="0.3">
      <c r="I150" s="10"/>
      <c r="J150" s="10"/>
      <c r="K150" s="10"/>
      <c r="L150" s="10"/>
      <c r="M150" s="10"/>
    </row>
    <row r="151" spans="9:13" s="210" customFormat="1" hidden="1" x14ac:dyDescent="0.3"/>
    <row r="152" spans="9:13" s="210" customFormat="1" hidden="1" x14ac:dyDescent="0.3"/>
    <row r="153" spans="9:13" s="210" customFormat="1" hidden="1" x14ac:dyDescent="0.3"/>
    <row r="154" spans="9:13" s="210" customFormat="1" hidden="1" x14ac:dyDescent="0.3"/>
    <row r="155" spans="9:13" s="210" customFormat="1" hidden="1" x14ac:dyDescent="0.3"/>
    <row r="156" spans="9:13" s="210" customFormat="1" hidden="1" x14ac:dyDescent="0.3"/>
    <row r="157" spans="9:13" s="210" customFormat="1" hidden="1" x14ac:dyDescent="0.3"/>
    <row r="158" spans="9:13" s="210" customFormat="1" hidden="1" x14ac:dyDescent="0.3"/>
    <row r="159" spans="9:13" s="210" customFormat="1" hidden="1" x14ac:dyDescent="0.3"/>
    <row r="160" spans="9:13" s="210" customFormat="1" hidden="1" x14ac:dyDescent="0.3"/>
    <row r="161" s="210" customFormat="1" hidden="1" x14ac:dyDescent="0.3"/>
    <row r="162" s="210" customFormat="1" hidden="1" x14ac:dyDescent="0.3"/>
    <row r="163" s="210" customFormat="1" hidden="1" x14ac:dyDescent="0.3"/>
    <row r="164" s="210" customFormat="1" hidden="1" x14ac:dyDescent="0.3"/>
    <row r="165" s="210" customFormat="1" hidden="1" x14ac:dyDescent="0.3"/>
    <row r="166" s="210" customFormat="1" hidden="1" x14ac:dyDescent="0.3"/>
    <row r="167" s="210" customFormat="1" hidden="1" x14ac:dyDescent="0.3"/>
    <row r="168" s="210" customFormat="1" hidden="1" x14ac:dyDescent="0.3"/>
    <row r="169" s="210" customFormat="1" hidden="1" x14ac:dyDescent="0.3"/>
    <row r="170" s="210" customFormat="1" hidden="1" x14ac:dyDescent="0.3"/>
    <row r="171" s="210" customFormat="1" hidden="1" x14ac:dyDescent="0.3"/>
    <row r="172" s="210" customFormat="1" hidden="1" x14ac:dyDescent="0.3"/>
    <row r="173" s="210" customFormat="1" hidden="1" x14ac:dyDescent="0.3"/>
    <row r="174" s="210" customFormat="1" hidden="1" x14ac:dyDescent="0.3"/>
    <row r="175" s="210" customFormat="1" hidden="1" x14ac:dyDescent="0.3"/>
    <row r="176" s="210" customFormat="1" hidden="1" x14ac:dyDescent="0.3"/>
    <row r="177" spans="9:13" s="210" customFormat="1" hidden="1" x14ac:dyDescent="0.3"/>
    <row r="178" spans="9:13" s="210" customFormat="1" hidden="1" x14ac:dyDescent="0.3"/>
    <row r="179" spans="9:13" s="210" customFormat="1" hidden="1" x14ac:dyDescent="0.3"/>
    <row r="180" spans="9:13" s="210" customFormat="1" hidden="1" x14ac:dyDescent="0.3"/>
    <row r="181" spans="9:13" s="210" customFormat="1" hidden="1" x14ac:dyDescent="0.3"/>
    <row r="182" spans="9:13" s="210" customFormat="1" hidden="1" x14ac:dyDescent="0.3"/>
    <row r="183" spans="9:13" s="210" customFormat="1" hidden="1" x14ac:dyDescent="0.3"/>
    <row r="184" spans="9:13" s="210" customFormat="1" hidden="1" x14ac:dyDescent="0.3"/>
    <row r="185" spans="9:13" s="210" customFormat="1" hidden="1" x14ac:dyDescent="0.3"/>
    <row r="186" spans="9:13" s="210" customFormat="1" hidden="1" x14ac:dyDescent="0.3"/>
    <row r="187" spans="9:13" s="210" customFormat="1" hidden="1" x14ac:dyDescent="0.3"/>
    <row r="188" spans="9:13" s="210" customFormat="1" hidden="1" x14ac:dyDescent="0.3"/>
    <row r="189" spans="9:13" x14ac:dyDescent="0.3">
      <c r="I189" s="210"/>
      <c r="J189" s="210"/>
      <c r="K189" s="210"/>
      <c r="L189" s="210"/>
      <c r="M189" s="210"/>
    </row>
    <row r="190" spans="9:13" x14ac:dyDescent="0.3">
      <c r="I190" s="210"/>
      <c r="J190" s="210"/>
      <c r="K190" s="210"/>
      <c r="L190" s="210"/>
      <c r="M190" s="210"/>
    </row>
    <row r="191" spans="9:13" x14ac:dyDescent="0.3">
      <c r="I191" s="210"/>
      <c r="J191" s="210"/>
      <c r="K191" s="210"/>
      <c r="L191" s="210"/>
      <c r="M191" s="210"/>
    </row>
    <row r="192" spans="9:13" x14ac:dyDescent="0.3">
      <c r="I192" s="210"/>
      <c r="J192" s="210"/>
      <c r="K192" s="210"/>
      <c r="L192" s="210"/>
      <c r="M192" s="210"/>
    </row>
    <row r="193" spans="9:13" x14ac:dyDescent="0.3">
      <c r="I193" s="210"/>
      <c r="J193" s="210"/>
      <c r="K193" s="210"/>
      <c r="L193" s="210"/>
      <c r="M193" s="210"/>
    </row>
    <row r="194" spans="9:13" x14ac:dyDescent="0.3">
      <c r="I194" s="210"/>
      <c r="J194" s="210"/>
      <c r="K194" s="210"/>
      <c r="L194" s="210"/>
      <c r="M194" s="210"/>
    </row>
  </sheetData>
  <sheetProtection sheet="1" objects="1" scenarios="1"/>
  <mergeCells count="21">
    <mergeCell ref="U68:Y70"/>
    <mergeCell ref="U61:X61"/>
    <mergeCell ref="V62:W62"/>
    <mergeCell ref="V63:W63"/>
    <mergeCell ref="V64:W64"/>
    <mergeCell ref="I42:M42"/>
    <mergeCell ref="I59:M59"/>
    <mergeCell ref="U26:Y27"/>
    <mergeCell ref="I40:M40"/>
    <mergeCell ref="U37:Y42"/>
    <mergeCell ref="U56:W56"/>
    <mergeCell ref="A14:A15"/>
    <mergeCell ref="B14:B15"/>
    <mergeCell ref="U15:Y15"/>
    <mergeCell ref="T2:Y2"/>
    <mergeCell ref="E6:F6"/>
    <mergeCell ref="A1:F3"/>
    <mergeCell ref="I4:M4"/>
    <mergeCell ref="E5:F5"/>
    <mergeCell ref="I10:M10"/>
    <mergeCell ref="U10:Y13"/>
  </mergeCells>
  <conditionalFormatting sqref="E53">
    <cfRule type="expression" dxfId="4" priority="1">
      <formula>$E$53&lt;0</formula>
    </cfRule>
  </conditionalFormatting>
  <conditionalFormatting sqref="F19:F39">
    <cfRule type="dataBar" priority="3">
      <dataBar showValue="0">
        <cfvo type="min"/>
        <cfvo type="max"/>
        <color rgb="FF63C384"/>
      </dataBar>
      <extLst>
        <ext xmlns:x14="http://schemas.microsoft.com/office/spreadsheetml/2009/9/main" uri="{B025F937-C7B1-47D3-B67F-A62EFF666E3E}">
          <x14:id>{65C24380-5287-465B-97A0-971BC5C8EAD3}</x14:id>
        </ext>
      </extLst>
    </cfRule>
  </conditionalFormatting>
  <conditionalFormatting sqref="F44:F51">
    <cfRule type="dataBar" priority="2">
      <dataBar showValue="0">
        <cfvo type="min"/>
        <cfvo type="max"/>
        <color rgb="FF63C384"/>
      </dataBar>
      <extLst>
        <ext xmlns:x14="http://schemas.microsoft.com/office/spreadsheetml/2009/9/main" uri="{B025F937-C7B1-47D3-B67F-A62EFF666E3E}">
          <x14:id>{D6E04149-38C7-4E6C-B63E-2E64881E3E39}</x14:id>
        </ext>
      </extLst>
    </cfRule>
  </conditionalFormatting>
  <dataValidations count="1">
    <dataValidation type="list" allowBlank="1" showInputMessage="1" showErrorMessage="1" sqref="K51:K57 K45:K49 K66:K72 K62:K64" xr:uid="{C9CAB3C4-48DB-447C-B1D1-9FCC30ED160B}">
      <formula1>$S$33:$S$37</formula1>
    </dataValidation>
  </dataValidations>
  <hyperlinks>
    <hyperlink ref="U8" r:id="rId1" xr:uid="{D3625924-EF22-4D77-AF1F-6DEF56484A96}"/>
    <hyperlink ref="U5" r:id="rId2" xr:uid="{47445FEE-72B3-46AB-85B9-1A9FBE254EC8}"/>
  </hyperlinks>
  <printOptions horizontalCentered="1"/>
  <pageMargins left="0.25" right="0.25" top="0.5" bottom="0.5" header="0.5" footer="0.5"/>
  <pageSetup scale="74" orientation="portrait" r:id="rId3"/>
  <drawing r:id="rId4"/>
  <extLst>
    <ext xmlns:x14="http://schemas.microsoft.com/office/spreadsheetml/2009/9/main" uri="{78C0D931-6437-407d-A8EE-F0AAD7539E65}">
      <x14:conditionalFormattings>
        <x14:conditionalFormatting xmlns:xm="http://schemas.microsoft.com/office/excel/2006/main">
          <x14:cfRule type="dataBar" id="{65C24380-5287-465B-97A0-971BC5C8EAD3}">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D6E04149-38C7-4E6C-B63E-2E64881E3E3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FE54FB5-CE03-4F81-A22F-A4787AD2E061}">
          <x14:formula1>
            <xm:f>Manure!$C$7:$C$11</xm:f>
          </x14:formula1>
          <xm:sqref>Y18 Y23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C9F0-6D55-4783-95FE-F22E5EA0066A}">
  <sheetPr>
    <tabColor rgb="FF92D050"/>
    <pageSetUpPr fitToPage="1"/>
  </sheetPr>
  <dimension ref="A1:Y194"/>
  <sheetViews>
    <sheetView zoomScale="80" zoomScaleNormal="80" workbookViewId="0">
      <selection activeCell="E8" sqref="E8"/>
    </sheetView>
  </sheetViews>
  <sheetFormatPr defaultColWidth="9.140625" defaultRowHeight="18.75" x14ac:dyDescent="0.3"/>
  <cols>
    <col min="1" max="1" width="50" style="210" customWidth="1"/>
    <col min="2" max="2" width="2.42578125" style="10" customWidth="1"/>
    <col min="3" max="3" width="14.7109375" style="10" bestFit="1" customWidth="1"/>
    <col min="4" max="4" width="2.85546875" style="10" customWidth="1"/>
    <col min="5" max="5" width="15.42578125" style="10"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48" t="s">
        <v>444</v>
      </c>
      <c r="B1" s="249"/>
      <c r="C1" s="249"/>
      <c r="D1" s="249"/>
      <c r="E1" s="249"/>
      <c r="F1" s="250"/>
      <c r="G1" s="86"/>
    </row>
    <row r="2" spans="1:25" ht="15.75" customHeight="1" x14ac:dyDescent="0.3">
      <c r="A2" s="251"/>
      <c r="B2" s="252"/>
      <c r="C2" s="252"/>
      <c r="D2" s="252"/>
      <c r="E2" s="252"/>
      <c r="F2" s="253"/>
      <c r="G2" s="86"/>
      <c r="T2" s="265" t="s">
        <v>545</v>
      </c>
      <c r="U2" s="266"/>
      <c r="V2" s="266"/>
      <c r="W2" s="266"/>
      <c r="X2" s="266"/>
      <c r="Y2" s="267"/>
    </row>
    <row r="3" spans="1:25" ht="15.75" customHeight="1" thickBot="1" x14ac:dyDescent="0.35">
      <c r="A3" s="254"/>
      <c r="B3" s="255"/>
      <c r="C3" s="255"/>
      <c r="D3" s="255"/>
      <c r="E3" s="255"/>
      <c r="F3" s="256"/>
      <c r="G3" s="86"/>
    </row>
    <row r="4" spans="1:25" ht="19.5" thickBot="1" x14ac:dyDescent="0.35">
      <c r="A4" s="87"/>
      <c r="B4" s="88"/>
      <c r="C4" s="89"/>
      <c r="D4" s="89"/>
      <c r="E4" s="89"/>
      <c r="F4" s="90"/>
      <c r="G4" s="86"/>
      <c r="I4" s="265" t="s">
        <v>418</v>
      </c>
      <c r="J4" s="266"/>
      <c r="K4" s="266"/>
      <c r="L4" s="266"/>
      <c r="M4" s="267"/>
      <c r="U4" s="10" t="s">
        <v>493</v>
      </c>
    </row>
    <row r="5" spans="1:25" ht="21.75" thickBot="1" x14ac:dyDescent="0.35">
      <c r="A5" s="91"/>
      <c r="B5" s="92"/>
      <c r="C5" s="92"/>
      <c r="D5" s="92"/>
      <c r="E5" s="261" t="s">
        <v>552</v>
      </c>
      <c r="F5" s="262"/>
      <c r="G5" s="86"/>
      <c r="I5" s="93" t="s">
        <v>549</v>
      </c>
      <c r="J5" s="94" t="s">
        <v>402</v>
      </c>
      <c r="K5" s="94" t="s">
        <v>403</v>
      </c>
      <c r="L5" s="93"/>
      <c r="M5" s="93" t="s">
        <v>404</v>
      </c>
      <c r="U5" s="95" t="s">
        <v>496</v>
      </c>
    </row>
    <row r="6" spans="1:25" ht="19.5" customHeight="1" x14ac:dyDescent="0.3">
      <c r="A6" s="96" t="s">
        <v>59</v>
      </c>
      <c r="B6" s="97"/>
      <c r="D6" s="98"/>
      <c r="E6" s="268" t="s">
        <v>583</v>
      </c>
      <c r="F6" s="269"/>
      <c r="G6" s="86"/>
      <c r="I6" s="100" t="s">
        <v>60</v>
      </c>
      <c r="J6" s="100" t="s">
        <v>60</v>
      </c>
      <c r="K6" s="100" t="s">
        <v>60</v>
      </c>
      <c r="L6" s="100"/>
      <c r="M6" s="2"/>
    </row>
    <row r="7" spans="1:25" ht="16.5" customHeight="1" x14ac:dyDescent="0.3">
      <c r="A7" s="101" t="s">
        <v>290</v>
      </c>
      <c r="B7" s="102"/>
      <c r="D7" s="98"/>
      <c r="E7" s="103"/>
      <c r="F7" s="99"/>
      <c r="G7" s="86"/>
      <c r="I7" s="35">
        <v>350</v>
      </c>
      <c r="J7" s="36">
        <v>80000</v>
      </c>
      <c r="K7" s="36">
        <v>33600</v>
      </c>
      <c r="L7" s="100"/>
      <c r="M7" s="45">
        <f>I7/J7*K7</f>
        <v>147</v>
      </c>
      <c r="U7" s="10" t="s">
        <v>494</v>
      </c>
    </row>
    <row r="8" spans="1:25" ht="16.5" customHeight="1" x14ac:dyDescent="0.3">
      <c r="A8" s="104" t="s">
        <v>550</v>
      </c>
      <c r="B8" s="105"/>
      <c r="C8" s="106"/>
      <c r="D8" s="107"/>
      <c r="E8" s="67">
        <v>4.3499999999999996</v>
      </c>
      <c r="F8" s="30"/>
      <c r="G8" s="108"/>
      <c r="U8" s="95" t="s">
        <v>495</v>
      </c>
    </row>
    <row r="9" spans="1:25" ht="16.5" customHeight="1" x14ac:dyDescent="0.3">
      <c r="A9" s="109" t="s">
        <v>551</v>
      </c>
      <c r="B9" s="105"/>
      <c r="C9" s="110"/>
      <c r="D9" s="111"/>
      <c r="E9" s="68">
        <v>195</v>
      </c>
      <c r="F9" s="99" t="s">
        <v>391</v>
      </c>
      <c r="G9" s="112"/>
    </row>
    <row r="10" spans="1:25" ht="16.5" customHeight="1" x14ac:dyDescent="0.3">
      <c r="A10" s="104" t="s">
        <v>54</v>
      </c>
      <c r="B10" s="105"/>
      <c r="C10" s="110"/>
      <c r="D10" s="111"/>
      <c r="E10" s="71">
        <v>1</v>
      </c>
      <c r="F10" s="99" t="s">
        <v>54</v>
      </c>
      <c r="G10" s="113"/>
      <c r="I10" s="265" t="s">
        <v>407</v>
      </c>
      <c r="J10" s="266"/>
      <c r="K10" s="266"/>
      <c r="L10" s="266"/>
      <c r="M10" s="267"/>
      <c r="U10" s="263" t="s">
        <v>501</v>
      </c>
      <c r="V10" s="264"/>
      <c r="W10" s="264"/>
      <c r="X10" s="264"/>
      <c r="Y10" s="264"/>
    </row>
    <row r="11" spans="1:25" ht="16.5" hidden="1" customHeight="1" x14ac:dyDescent="0.3">
      <c r="A11" s="104"/>
      <c r="B11" s="114"/>
      <c r="C11" s="110"/>
      <c r="D11" s="111"/>
      <c r="E11" s="115"/>
      <c r="F11" s="99"/>
      <c r="G11" s="113"/>
      <c r="U11" s="264"/>
      <c r="V11" s="264"/>
      <c r="W11" s="264"/>
      <c r="X11" s="264"/>
      <c r="Y11" s="264"/>
    </row>
    <row r="12" spans="1:25" ht="16.5" hidden="1" customHeight="1" x14ac:dyDescent="0.3">
      <c r="A12" s="116" t="s">
        <v>371</v>
      </c>
      <c r="B12" s="117"/>
      <c r="C12" s="118"/>
      <c r="D12" s="119"/>
      <c r="E12" s="120">
        <v>0</v>
      </c>
      <c r="F12" s="121"/>
      <c r="G12" s="122"/>
      <c r="U12" s="264"/>
      <c r="V12" s="264"/>
      <c r="W12" s="264"/>
      <c r="X12" s="264"/>
      <c r="Y12" s="264"/>
    </row>
    <row r="13" spans="1:25" ht="16.5" customHeight="1" x14ac:dyDescent="0.3">
      <c r="A13" s="104"/>
      <c r="B13" s="123"/>
      <c r="C13" s="124"/>
      <c r="D13" s="125"/>
      <c r="E13" s="126"/>
      <c r="F13" s="99"/>
      <c r="G13" s="113"/>
      <c r="U13" s="264"/>
      <c r="V13" s="264"/>
      <c r="W13" s="264"/>
      <c r="X13" s="264"/>
      <c r="Y13" s="264"/>
    </row>
    <row r="14" spans="1:25" ht="16.5" customHeight="1" x14ac:dyDescent="0.3">
      <c r="A14" s="257" t="s">
        <v>291</v>
      </c>
      <c r="B14" s="259"/>
      <c r="C14" s="124"/>
      <c r="D14" s="128"/>
      <c r="E14" s="129" t="s">
        <v>35</v>
      </c>
      <c r="F14" s="130"/>
      <c r="G14" s="131"/>
      <c r="I14" s="132" t="s">
        <v>424</v>
      </c>
      <c r="J14" s="132" t="s">
        <v>425</v>
      </c>
      <c r="K14" s="132" t="s">
        <v>434</v>
      </c>
      <c r="L14" s="132" t="s">
        <v>432</v>
      </c>
      <c r="M14" s="93" t="s">
        <v>404</v>
      </c>
    </row>
    <row r="15" spans="1:25" ht="16.5" customHeight="1" thickBot="1" x14ac:dyDescent="0.35">
      <c r="A15" s="258"/>
      <c r="B15" s="260"/>
      <c r="C15" s="34"/>
      <c r="D15" s="33"/>
      <c r="E15" s="24">
        <f>(E8*E9)+E12</f>
        <v>848.24999999999989</v>
      </c>
      <c r="F15" s="31"/>
      <c r="G15" s="29"/>
      <c r="I15" s="132"/>
      <c r="J15" s="100" t="s">
        <v>60</v>
      </c>
      <c r="K15" s="132"/>
      <c r="L15" s="100" t="s">
        <v>60</v>
      </c>
      <c r="M15" s="93"/>
      <c r="U15" s="272" t="s">
        <v>453</v>
      </c>
      <c r="V15" s="273"/>
      <c r="W15" s="273"/>
      <c r="X15" s="273"/>
      <c r="Y15" s="274"/>
    </row>
    <row r="16" spans="1:25" ht="16.5" customHeight="1" thickTop="1" x14ac:dyDescent="0.3">
      <c r="A16" s="104"/>
      <c r="B16" s="105"/>
      <c r="C16" s="133" t="s">
        <v>445</v>
      </c>
      <c r="D16" s="133"/>
      <c r="E16" s="134"/>
      <c r="F16" s="135"/>
      <c r="G16" s="112"/>
      <c r="I16" s="136" t="s">
        <v>578</v>
      </c>
      <c r="J16" s="35">
        <v>513</v>
      </c>
      <c r="K16" s="37" t="s">
        <v>3</v>
      </c>
      <c r="L16" s="36">
        <v>36</v>
      </c>
      <c r="M16" s="39">
        <f>'Fertilizer (Base)'!J5</f>
        <v>84.842505000000003</v>
      </c>
      <c r="U16" s="10" t="s">
        <v>454</v>
      </c>
      <c r="Y16" s="54" t="s">
        <v>455</v>
      </c>
    </row>
    <row r="17" spans="1:25" ht="16.5" customHeight="1" x14ac:dyDescent="0.3">
      <c r="A17" s="137" t="s">
        <v>252</v>
      </c>
      <c r="B17" s="138"/>
      <c r="C17" s="139" t="s">
        <v>392</v>
      </c>
      <c r="D17" s="133"/>
      <c r="E17" s="140"/>
      <c r="F17" s="141"/>
      <c r="G17" s="112"/>
      <c r="I17" s="136" t="s">
        <v>576</v>
      </c>
      <c r="J17" s="35">
        <v>1100</v>
      </c>
      <c r="K17" s="37" t="s">
        <v>435</v>
      </c>
      <c r="L17" s="36">
        <v>0</v>
      </c>
      <c r="M17" s="39">
        <f>'Fertilizer (Push Non-Irrigated)'!J6</f>
        <v>0</v>
      </c>
      <c r="T17" s="54"/>
      <c r="U17" s="37" t="s">
        <v>51</v>
      </c>
      <c r="V17" s="37" t="s">
        <v>52</v>
      </c>
      <c r="W17" s="37" t="s">
        <v>442</v>
      </c>
      <c r="X17" s="37" t="s">
        <v>53</v>
      </c>
      <c r="Y17" s="100" t="s">
        <v>477</v>
      </c>
    </row>
    <row r="18" spans="1:25" ht="16.5" customHeight="1" x14ac:dyDescent="0.3">
      <c r="A18" s="142" t="s">
        <v>372</v>
      </c>
      <c r="B18" s="138"/>
      <c r="C18" s="139" t="s">
        <v>393</v>
      </c>
      <c r="D18" s="133"/>
      <c r="E18" s="143" t="s">
        <v>35</v>
      </c>
      <c r="F18" s="144"/>
      <c r="G18" s="112"/>
      <c r="I18" s="136" t="s">
        <v>451</v>
      </c>
      <c r="J18" s="35">
        <v>550</v>
      </c>
      <c r="K18" s="37" t="s">
        <v>3</v>
      </c>
      <c r="L18" s="36">
        <v>0</v>
      </c>
      <c r="M18" s="39">
        <f>'Fertilizer (Push Non-Irrigated)'!J7</f>
        <v>0</v>
      </c>
      <c r="T18" s="100" t="s">
        <v>478</v>
      </c>
      <c r="U18" s="60">
        <v>0</v>
      </c>
      <c r="V18" s="60">
        <v>0</v>
      </c>
      <c r="W18" s="60">
        <v>0</v>
      </c>
      <c r="X18" s="60">
        <v>0</v>
      </c>
      <c r="Y18" s="61" t="s">
        <v>464</v>
      </c>
    </row>
    <row r="19" spans="1:25" ht="16.5" customHeight="1" x14ac:dyDescent="0.3">
      <c r="A19" s="127" t="s">
        <v>36</v>
      </c>
      <c r="B19" s="105"/>
      <c r="C19" s="74" t="s">
        <v>554</v>
      </c>
      <c r="D19" s="26"/>
      <c r="E19" s="145">
        <f>M7</f>
        <v>147</v>
      </c>
      <c r="F19" s="32">
        <f t="shared" ref="F19:F39" si="0">E19</f>
        <v>147</v>
      </c>
      <c r="G19" s="131"/>
      <c r="I19" s="37" t="s">
        <v>426</v>
      </c>
      <c r="J19" s="35">
        <v>853</v>
      </c>
      <c r="K19" s="37" t="s">
        <v>435</v>
      </c>
      <c r="L19" s="36">
        <v>0</v>
      </c>
      <c r="M19" s="39">
        <f>'Fertilizer (Push Non-Irrigated)'!J4</f>
        <v>0</v>
      </c>
      <c r="T19" s="146" t="s">
        <v>482</v>
      </c>
      <c r="U19" s="147">
        <f>Manure!S8</f>
        <v>0</v>
      </c>
      <c r="V19" s="147">
        <f>Manure!T8</f>
        <v>0</v>
      </c>
      <c r="W19" s="147">
        <f>Manure!U8</f>
        <v>0</v>
      </c>
      <c r="X19" s="147">
        <f>Manure!V8</f>
        <v>0</v>
      </c>
      <c r="Y19" s="10" t="s">
        <v>457</v>
      </c>
    </row>
    <row r="20" spans="1:25" ht="16.5" customHeight="1" x14ac:dyDescent="0.3">
      <c r="A20" s="104" t="s">
        <v>37</v>
      </c>
      <c r="B20" s="114"/>
      <c r="C20" s="74" t="s">
        <v>555</v>
      </c>
      <c r="D20" s="26"/>
      <c r="E20" s="145">
        <f>M34</f>
        <v>180.49500500000002</v>
      </c>
      <c r="F20" s="32">
        <f t="shared" si="0"/>
        <v>180.49500500000002</v>
      </c>
      <c r="G20" s="29"/>
      <c r="I20" s="37" t="s">
        <v>405</v>
      </c>
      <c r="J20" s="35">
        <v>857</v>
      </c>
      <c r="K20" s="37" t="s">
        <v>435</v>
      </c>
      <c r="L20" s="36">
        <v>105</v>
      </c>
      <c r="M20" s="39">
        <f>'Fertilizer (Push Non-Irrigated)'!J9+'Fertilizer (Push Non-Irrigated)'!J15</f>
        <v>44.992500000000007</v>
      </c>
    </row>
    <row r="21" spans="1:25" ht="16.5" customHeight="1" x14ac:dyDescent="0.3">
      <c r="A21" s="104" t="s">
        <v>257</v>
      </c>
      <c r="B21" s="114"/>
      <c r="C21" s="74" t="s">
        <v>556</v>
      </c>
      <c r="D21" s="26"/>
      <c r="E21" s="148">
        <f>M78</f>
        <v>72.34</v>
      </c>
      <c r="F21" s="32">
        <f t="shared" si="0"/>
        <v>72.34</v>
      </c>
      <c r="G21" s="29"/>
      <c r="I21" s="37" t="s">
        <v>427</v>
      </c>
      <c r="J21" s="35">
        <v>894</v>
      </c>
      <c r="K21" s="37" t="s">
        <v>435</v>
      </c>
      <c r="L21" s="36">
        <v>0</v>
      </c>
      <c r="M21" s="39">
        <f>'Fertilizer (Push Non-Irrigated)'!J10+'Fertilizer (Push Non-Irrigated)'!J16</f>
        <v>0</v>
      </c>
      <c r="U21" s="10" t="s">
        <v>458</v>
      </c>
      <c r="Y21" s="54" t="s">
        <v>455</v>
      </c>
    </row>
    <row r="22" spans="1:25" ht="16.5" customHeight="1" x14ac:dyDescent="0.3">
      <c r="A22" s="104" t="s">
        <v>41</v>
      </c>
      <c r="B22" s="105"/>
      <c r="C22" s="74" t="s">
        <v>557</v>
      </c>
      <c r="D22" s="26"/>
      <c r="E22" s="69">
        <v>27</v>
      </c>
      <c r="F22" s="32">
        <f t="shared" si="0"/>
        <v>27</v>
      </c>
      <c r="G22" s="29"/>
      <c r="I22" s="37" t="s">
        <v>488</v>
      </c>
      <c r="J22" s="35">
        <v>700</v>
      </c>
      <c r="K22" s="37" t="s">
        <v>3</v>
      </c>
      <c r="L22" s="36">
        <v>5</v>
      </c>
      <c r="M22" s="39">
        <f>'Fertilizer (Push Non-Irrigated)'!J8</f>
        <v>20.474999999999998</v>
      </c>
      <c r="O22" s="149">
        <f>J25/2000</f>
        <v>0.33750000000000002</v>
      </c>
      <c r="P22" s="149">
        <f>O22*L25</f>
        <v>13.8375</v>
      </c>
      <c r="U22" s="37" t="s">
        <v>51</v>
      </c>
      <c r="V22" s="37" t="s">
        <v>52</v>
      </c>
      <c r="W22" s="37" t="s">
        <v>442</v>
      </c>
      <c r="X22" s="37" t="s">
        <v>53</v>
      </c>
      <c r="Y22" s="100" t="s">
        <v>477</v>
      </c>
    </row>
    <row r="23" spans="1:25" ht="16.5" customHeight="1" x14ac:dyDescent="0.3">
      <c r="A23" s="104" t="s">
        <v>397</v>
      </c>
      <c r="B23" s="105"/>
      <c r="C23" s="74" t="s">
        <v>398</v>
      </c>
      <c r="D23" s="26"/>
      <c r="E23" s="69">
        <v>2</v>
      </c>
      <c r="F23" s="32">
        <f t="shared" si="0"/>
        <v>2</v>
      </c>
      <c r="G23" s="29"/>
      <c r="I23" s="37" t="s">
        <v>406</v>
      </c>
      <c r="J23" s="35">
        <v>503</v>
      </c>
      <c r="K23" s="37" t="s">
        <v>435</v>
      </c>
      <c r="L23" s="36">
        <v>65</v>
      </c>
      <c r="M23" s="39">
        <f>'Fertilizer (Push Non-Irrigated)'!J17</f>
        <v>16.3475</v>
      </c>
      <c r="O23" s="2"/>
      <c r="T23" s="100" t="s">
        <v>478</v>
      </c>
      <c r="U23" s="60">
        <v>0</v>
      </c>
      <c r="V23" s="60">
        <v>0</v>
      </c>
      <c r="W23" s="60">
        <v>0</v>
      </c>
      <c r="X23" s="60">
        <v>0</v>
      </c>
      <c r="Y23" s="61" t="s">
        <v>464</v>
      </c>
    </row>
    <row r="24" spans="1:25" ht="16.5" customHeight="1" x14ac:dyDescent="0.3">
      <c r="A24" s="104" t="s">
        <v>396</v>
      </c>
      <c r="B24" s="105"/>
      <c r="C24" s="74" t="s">
        <v>558</v>
      </c>
      <c r="D24" s="26"/>
      <c r="E24" s="69">
        <v>16</v>
      </c>
      <c r="F24" s="32">
        <f t="shared" si="0"/>
        <v>16</v>
      </c>
      <c r="G24" s="29"/>
      <c r="I24" s="37" t="s">
        <v>487</v>
      </c>
      <c r="J24" s="35">
        <v>0</v>
      </c>
      <c r="K24" s="37" t="s">
        <v>435</v>
      </c>
      <c r="L24" s="36">
        <v>0</v>
      </c>
      <c r="M24" s="39">
        <f>'Fertilizer (Push Non-Irrigated)'!J18</f>
        <v>0</v>
      </c>
      <c r="T24" s="150" t="s">
        <v>483</v>
      </c>
      <c r="U24" s="147">
        <f>Manure!S10</f>
        <v>0</v>
      </c>
      <c r="V24" s="147">
        <f>Manure!T10</f>
        <v>0</v>
      </c>
      <c r="W24" s="147">
        <f>Manure!U10</f>
        <v>0</v>
      </c>
      <c r="X24" s="147">
        <f>Manure!V10</f>
        <v>0</v>
      </c>
      <c r="Y24" s="10" t="s">
        <v>457</v>
      </c>
    </row>
    <row r="25" spans="1:25" ht="16.5" customHeight="1" x14ac:dyDescent="0.3">
      <c r="A25" s="104" t="s">
        <v>43</v>
      </c>
      <c r="B25" s="114"/>
      <c r="C25" s="74" t="s">
        <v>559</v>
      </c>
      <c r="D25" s="26"/>
      <c r="E25" s="70">
        <v>35</v>
      </c>
      <c r="F25" s="32">
        <f t="shared" si="0"/>
        <v>35</v>
      </c>
      <c r="G25" s="29"/>
      <c r="I25" s="37" t="s">
        <v>452</v>
      </c>
      <c r="J25" s="35">
        <v>675</v>
      </c>
      <c r="K25" s="37" t="s">
        <v>435</v>
      </c>
      <c r="L25" s="36">
        <v>41</v>
      </c>
      <c r="M25" s="40">
        <f>'Fertilizer (Push Non-Irrigated)'!J11+'Fertilizer (Push Non-Irrigated)'!J20</f>
        <v>13.837499999999999</v>
      </c>
    </row>
    <row r="26" spans="1:25" ht="16.5" customHeight="1" x14ac:dyDescent="0.3">
      <c r="A26" s="104" t="s">
        <v>46</v>
      </c>
      <c r="B26" s="114"/>
      <c r="C26" s="74" t="s">
        <v>560</v>
      </c>
      <c r="D26" s="26"/>
      <c r="E26" s="70">
        <v>55</v>
      </c>
      <c r="F26" s="32">
        <f t="shared" si="0"/>
        <v>55</v>
      </c>
      <c r="G26" s="29"/>
      <c r="I26" s="37" t="s">
        <v>489</v>
      </c>
      <c r="J26" s="35">
        <v>0</v>
      </c>
      <c r="K26" s="37" t="s">
        <v>435</v>
      </c>
      <c r="L26" s="36">
        <v>0</v>
      </c>
      <c r="M26" s="39">
        <f>'Fertilizer (Push Non-Irrigated)'!J21</f>
        <v>0</v>
      </c>
      <c r="U26" s="263" t="s">
        <v>476</v>
      </c>
      <c r="V26" s="263"/>
      <c r="W26" s="263"/>
      <c r="X26" s="263"/>
      <c r="Y26" s="263"/>
    </row>
    <row r="27" spans="1:25" ht="16.5" customHeight="1" x14ac:dyDescent="0.3">
      <c r="A27" s="104" t="s">
        <v>38</v>
      </c>
      <c r="B27" s="114"/>
      <c r="C27" s="74" t="s">
        <v>561</v>
      </c>
      <c r="D27" s="26"/>
      <c r="E27" s="70">
        <v>15</v>
      </c>
      <c r="F27" s="32">
        <f t="shared" si="0"/>
        <v>15</v>
      </c>
      <c r="G27" s="29"/>
      <c r="I27" s="37" t="s">
        <v>492</v>
      </c>
      <c r="J27" s="35">
        <v>55</v>
      </c>
      <c r="K27" s="37" t="s">
        <v>481</v>
      </c>
      <c r="L27" s="36">
        <v>0</v>
      </c>
      <c r="M27" s="39">
        <f>J27*L27</f>
        <v>0</v>
      </c>
      <c r="U27" s="263"/>
      <c r="V27" s="263"/>
      <c r="W27" s="263"/>
      <c r="X27" s="263"/>
      <c r="Y27" s="263"/>
    </row>
    <row r="28" spans="1:25" ht="16.5" customHeight="1" x14ac:dyDescent="0.3">
      <c r="A28" s="104" t="s">
        <v>390</v>
      </c>
      <c r="B28" s="105"/>
      <c r="C28" s="74" t="s">
        <v>562</v>
      </c>
      <c r="D28" s="26"/>
      <c r="E28" s="70">
        <v>8</v>
      </c>
      <c r="F28" s="32">
        <f t="shared" si="0"/>
        <v>8</v>
      </c>
      <c r="G28" s="29"/>
      <c r="I28" s="37" t="s">
        <v>463</v>
      </c>
      <c r="J28" s="35">
        <v>50</v>
      </c>
      <c r="K28" s="37" t="s">
        <v>481</v>
      </c>
      <c r="L28" s="36">
        <v>0</v>
      </c>
      <c r="M28" s="39">
        <f>J28*L28</f>
        <v>0</v>
      </c>
    </row>
    <row r="29" spans="1:25" ht="16.5" customHeight="1" x14ac:dyDescent="0.3">
      <c r="A29" s="104" t="s">
        <v>42</v>
      </c>
      <c r="B29" s="105"/>
      <c r="C29" s="74" t="s">
        <v>401</v>
      </c>
      <c r="D29" s="26"/>
      <c r="E29" s="70">
        <v>3</v>
      </c>
      <c r="F29" s="32">
        <f t="shared" si="0"/>
        <v>3</v>
      </c>
      <c r="G29" s="29"/>
      <c r="I29" s="37" t="s">
        <v>479</v>
      </c>
      <c r="J29" s="35">
        <v>0.01</v>
      </c>
      <c r="K29" s="37" t="s">
        <v>480</v>
      </c>
      <c r="L29" s="63">
        <v>0</v>
      </c>
      <c r="M29" s="46">
        <f>J29*L29*1000</f>
        <v>0</v>
      </c>
      <c r="U29" s="151" t="s">
        <v>473</v>
      </c>
      <c r="V29" s="151"/>
      <c r="W29" s="151"/>
      <c r="X29" s="151"/>
    </row>
    <row r="30" spans="1:25" ht="16.5" customHeight="1" x14ac:dyDescent="0.3">
      <c r="A30" s="104" t="s">
        <v>48</v>
      </c>
      <c r="B30" s="105"/>
      <c r="C30" s="74" t="s">
        <v>399</v>
      </c>
      <c r="D30" s="26"/>
      <c r="E30" s="69">
        <v>1.5</v>
      </c>
      <c r="F30" s="32">
        <f t="shared" si="0"/>
        <v>1.5</v>
      </c>
      <c r="G30" s="29"/>
      <c r="I30" s="37"/>
      <c r="J30" s="37"/>
      <c r="K30" s="37"/>
      <c r="L30" s="37"/>
      <c r="M30" s="37"/>
      <c r="U30" s="154" t="s">
        <v>51</v>
      </c>
      <c r="V30" s="154" t="s">
        <v>52</v>
      </c>
      <c r="W30" s="154" t="s">
        <v>442</v>
      </c>
      <c r="X30" s="154" t="s">
        <v>53</v>
      </c>
    </row>
    <row r="31" spans="1:25" ht="16.5" customHeight="1" x14ac:dyDescent="0.3">
      <c r="A31" s="104" t="s">
        <v>49</v>
      </c>
      <c r="B31" s="105"/>
      <c r="C31" s="74" t="s">
        <v>563</v>
      </c>
      <c r="D31" s="26"/>
      <c r="E31" s="70">
        <v>5</v>
      </c>
      <c r="F31" s="32">
        <f t="shared" si="0"/>
        <v>5</v>
      </c>
      <c r="G31" s="29"/>
      <c r="I31" s="132" t="s">
        <v>625</v>
      </c>
      <c r="J31" s="132" t="s">
        <v>627</v>
      </c>
      <c r="K31" s="162"/>
      <c r="L31" s="132" t="s">
        <v>626</v>
      </c>
      <c r="M31" s="93" t="s">
        <v>404</v>
      </c>
      <c r="U31" s="154">
        <v>42</v>
      </c>
      <c r="V31" s="154">
        <v>75</v>
      </c>
      <c r="W31" s="154">
        <v>58</v>
      </c>
      <c r="X31" s="154">
        <v>8</v>
      </c>
    </row>
    <row r="32" spans="1:25" ht="16.5" customHeight="1" x14ac:dyDescent="0.3">
      <c r="A32" s="104" t="s">
        <v>368</v>
      </c>
      <c r="B32" s="105"/>
      <c r="C32" s="74" t="s">
        <v>564</v>
      </c>
      <c r="D32" s="26"/>
      <c r="E32" s="70">
        <v>18</v>
      </c>
      <c r="F32" s="32">
        <f t="shared" si="0"/>
        <v>18</v>
      </c>
      <c r="G32" s="29"/>
      <c r="I32" s="37" t="s">
        <v>168</v>
      </c>
      <c r="J32" s="35">
        <v>10</v>
      </c>
      <c r="K32" s="37"/>
      <c r="L32" s="36">
        <v>0</v>
      </c>
      <c r="M32" s="39">
        <f>J32*L32</f>
        <v>0</v>
      </c>
    </row>
    <row r="33" spans="1:25" ht="16.5" customHeight="1" x14ac:dyDescent="0.3">
      <c r="A33" s="109" t="s">
        <v>511</v>
      </c>
      <c r="B33" s="105"/>
      <c r="C33" s="74" t="s">
        <v>513</v>
      </c>
      <c r="D33" s="26"/>
      <c r="E33" s="70">
        <v>0</v>
      </c>
      <c r="F33" s="32">
        <f t="shared" si="0"/>
        <v>0</v>
      </c>
      <c r="G33" s="29"/>
      <c r="R33" s="10">
        <v>0</v>
      </c>
      <c r="S33" s="10" t="s">
        <v>441</v>
      </c>
      <c r="U33" s="151" t="s">
        <v>474</v>
      </c>
      <c r="V33" s="151"/>
      <c r="W33" s="151"/>
      <c r="X33" s="151"/>
    </row>
    <row r="34" spans="1:25" ht="16.5" customHeight="1" x14ac:dyDescent="0.3">
      <c r="A34" s="109" t="s">
        <v>512</v>
      </c>
      <c r="B34" s="105"/>
      <c r="C34" s="74" t="s">
        <v>514</v>
      </c>
      <c r="D34" s="26"/>
      <c r="E34" s="70">
        <v>0</v>
      </c>
      <c r="F34" s="32">
        <f t="shared" si="0"/>
        <v>0</v>
      </c>
      <c r="G34" s="29"/>
      <c r="L34" s="152" t="s">
        <v>431</v>
      </c>
      <c r="M34" s="153">
        <f>SUM(M16:M32)</f>
        <v>180.49500500000002</v>
      </c>
      <c r="R34" s="158">
        <v>8</v>
      </c>
      <c r="S34" s="159" t="s">
        <v>437</v>
      </c>
      <c r="T34" s="159"/>
      <c r="U34" s="154" t="s">
        <v>51</v>
      </c>
      <c r="V34" s="154" t="s">
        <v>52</v>
      </c>
      <c r="W34" s="154" t="s">
        <v>442</v>
      </c>
      <c r="X34" s="154" t="s">
        <v>53</v>
      </c>
    </row>
    <row r="35" spans="1:25" ht="16.5" customHeight="1" x14ac:dyDescent="0.3">
      <c r="A35" s="109" t="s">
        <v>472</v>
      </c>
      <c r="B35" s="105"/>
      <c r="C35" s="227" t="s">
        <v>565</v>
      </c>
      <c r="D35" s="26"/>
      <c r="E35" s="70">
        <v>14</v>
      </c>
      <c r="F35" s="32">
        <f t="shared" si="0"/>
        <v>14</v>
      </c>
      <c r="G35" s="29"/>
      <c r="M35" s="153"/>
      <c r="R35" s="158">
        <v>16</v>
      </c>
      <c r="S35" s="159" t="s">
        <v>438</v>
      </c>
      <c r="T35" s="159"/>
      <c r="U35" s="154">
        <v>43</v>
      </c>
      <c r="V35" s="154">
        <v>17</v>
      </c>
      <c r="W35" s="154">
        <v>38</v>
      </c>
      <c r="X35" s="154">
        <v>10</v>
      </c>
    </row>
    <row r="36" spans="1:25" ht="16.5" customHeight="1" x14ac:dyDescent="0.3">
      <c r="A36" s="109" t="s">
        <v>366</v>
      </c>
      <c r="B36" s="105"/>
      <c r="C36" s="74" t="s">
        <v>400</v>
      </c>
      <c r="D36" s="26"/>
      <c r="E36" s="70">
        <v>8</v>
      </c>
      <c r="F36" s="32">
        <f t="shared" si="0"/>
        <v>8</v>
      </c>
      <c r="G36" s="29"/>
      <c r="J36" s="155" t="s">
        <v>51</v>
      </c>
      <c r="K36" s="155" t="s">
        <v>52</v>
      </c>
      <c r="L36" s="155" t="s">
        <v>442</v>
      </c>
      <c r="M36" s="155" t="s">
        <v>53</v>
      </c>
      <c r="R36" s="158">
        <v>128</v>
      </c>
      <c r="S36" s="159" t="s">
        <v>439</v>
      </c>
      <c r="T36" s="159"/>
    </row>
    <row r="37" spans="1:25" ht="16.5" customHeight="1" x14ac:dyDescent="0.3">
      <c r="A37" s="72" t="s">
        <v>475</v>
      </c>
      <c r="B37" s="105"/>
      <c r="C37" s="74"/>
      <c r="D37" s="160"/>
      <c r="E37" s="69">
        <v>0</v>
      </c>
      <c r="F37" s="32">
        <f t="shared" si="0"/>
        <v>0</v>
      </c>
      <c r="G37" s="29"/>
      <c r="I37" s="4" t="s">
        <v>581</v>
      </c>
      <c r="J37" s="156">
        <f>'Fertilizer (Push Non-Irrigated)'!P5+(U19*L28)+(L29*U24)</f>
        <v>140.9136</v>
      </c>
      <c r="K37" s="156">
        <f>'Fertilizer (Push Non-Irrigated)'!Q5+(V19*L28)+(L29*V24)</f>
        <v>68.19</v>
      </c>
      <c r="L37" s="156">
        <f>'Fertilizer (Push Non-Irrigated)'!R5+(W19*L28)+(L29*W24)</f>
        <v>39</v>
      </c>
      <c r="M37" s="156">
        <f>'Fertilizer (Push Non-Irrigated)'!S5+(X19*L28)+(L29*X24)</f>
        <v>9.84</v>
      </c>
      <c r="N37" s="161"/>
      <c r="R37" s="10">
        <v>4</v>
      </c>
      <c r="S37" s="10" t="s">
        <v>440</v>
      </c>
      <c r="U37" s="270" t="s">
        <v>535</v>
      </c>
      <c r="V37" s="270"/>
      <c r="W37" s="270"/>
      <c r="X37" s="270"/>
      <c r="Y37" s="270"/>
    </row>
    <row r="38" spans="1:25" ht="16.5" customHeight="1" x14ac:dyDescent="0.3">
      <c r="A38" s="72" t="s">
        <v>475</v>
      </c>
      <c r="B38" s="105"/>
      <c r="C38" s="74"/>
      <c r="D38" s="160"/>
      <c r="E38" s="69">
        <v>0</v>
      </c>
      <c r="F38" s="32">
        <f t="shared" si="0"/>
        <v>0</v>
      </c>
      <c r="G38" s="29"/>
      <c r="I38" s="234" t="s">
        <v>588</v>
      </c>
      <c r="J38" s="157"/>
      <c r="K38" s="147"/>
      <c r="L38" s="147"/>
      <c r="M38" s="147"/>
      <c r="U38" s="270"/>
      <c r="V38" s="270"/>
      <c r="W38" s="270"/>
      <c r="X38" s="270"/>
      <c r="Y38" s="270"/>
    </row>
    <row r="39" spans="1:25" ht="16.5" customHeight="1" x14ac:dyDescent="0.3">
      <c r="A39" s="72" t="s">
        <v>475</v>
      </c>
      <c r="B39" s="105"/>
      <c r="C39" s="74"/>
      <c r="D39" s="160"/>
      <c r="E39" s="69">
        <v>0</v>
      </c>
      <c r="F39" s="32">
        <f t="shared" si="0"/>
        <v>0</v>
      </c>
      <c r="G39" s="29"/>
      <c r="I39" s="234"/>
      <c r="J39" s="157"/>
      <c r="K39" s="147"/>
      <c r="L39" s="147"/>
      <c r="M39" s="147"/>
      <c r="U39" s="270"/>
      <c r="V39" s="270"/>
      <c r="W39" s="270"/>
      <c r="X39" s="270"/>
      <c r="Y39" s="270"/>
    </row>
    <row r="40" spans="1:25" ht="16.5" customHeight="1" thickBot="1" x14ac:dyDescent="0.35">
      <c r="A40" s="163" t="s">
        <v>251</v>
      </c>
      <c r="B40" s="164"/>
      <c r="C40" s="18"/>
      <c r="D40" s="22"/>
      <c r="E40" s="23">
        <f>SUM(E19:E39)</f>
        <v>607.33500500000002</v>
      </c>
      <c r="F40" s="165"/>
      <c r="G40" s="29"/>
      <c r="I40" s="265" t="s">
        <v>433</v>
      </c>
      <c r="J40" s="266"/>
      <c r="K40" s="266"/>
      <c r="L40" s="266"/>
      <c r="M40" s="267"/>
      <c r="U40" s="270"/>
      <c r="V40" s="270"/>
      <c r="W40" s="270"/>
      <c r="X40" s="270"/>
      <c r="Y40" s="270"/>
    </row>
    <row r="41" spans="1:25" ht="16.5" customHeight="1" thickTop="1" x14ac:dyDescent="0.3">
      <c r="A41" s="166" t="s">
        <v>370</v>
      </c>
      <c r="B41" s="167"/>
      <c r="C41" s="168"/>
      <c r="D41" s="169"/>
      <c r="E41" s="170">
        <f>E15-E40</f>
        <v>240.91499499999986</v>
      </c>
      <c r="F41" s="171"/>
      <c r="G41" s="29"/>
      <c r="U41" s="270"/>
      <c r="V41" s="270"/>
      <c r="W41" s="270"/>
      <c r="X41" s="270"/>
      <c r="Y41" s="270"/>
    </row>
    <row r="42" spans="1:25" ht="16.5" customHeight="1" x14ac:dyDescent="0.3">
      <c r="A42" s="172"/>
      <c r="B42" s="138"/>
      <c r="C42" s="173"/>
      <c r="D42" s="174"/>
      <c r="E42" s="175"/>
      <c r="F42" s="135"/>
      <c r="G42" s="29"/>
      <c r="I42" s="271" t="s">
        <v>497</v>
      </c>
      <c r="J42" s="271"/>
      <c r="K42" s="271"/>
      <c r="L42" s="271"/>
      <c r="M42" s="271"/>
      <c r="U42" s="270"/>
      <c r="V42" s="270"/>
      <c r="W42" s="270"/>
      <c r="X42" s="270"/>
      <c r="Y42" s="270"/>
    </row>
    <row r="43" spans="1:25" ht="16.5" customHeight="1" x14ac:dyDescent="0.3">
      <c r="A43" s="176" t="s">
        <v>373</v>
      </c>
      <c r="B43" s="138"/>
      <c r="C43" s="173"/>
      <c r="D43" s="174"/>
      <c r="E43" s="143" t="s">
        <v>35</v>
      </c>
      <c r="F43" s="144"/>
      <c r="G43" s="29"/>
      <c r="I43" s="132" t="s">
        <v>424</v>
      </c>
      <c r="J43" s="132" t="s">
        <v>436</v>
      </c>
      <c r="K43" s="162" t="s">
        <v>434</v>
      </c>
      <c r="L43" s="132" t="s">
        <v>432</v>
      </c>
      <c r="M43" s="93" t="s">
        <v>404</v>
      </c>
    </row>
    <row r="44" spans="1:25" ht="16.5" customHeight="1" x14ac:dyDescent="0.3">
      <c r="A44" s="177" t="s">
        <v>256</v>
      </c>
      <c r="B44" s="105"/>
      <c r="C44" s="227" t="s">
        <v>566</v>
      </c>
      <c r="D44" s="160"/>
      <c r="E44" s="70">
        <v>12</v>
      </c>
      <c r="F44" s="32">
        <f t="shared" ref="F44:F50" si="1">E44</f>
        <v>12</v>
      </c>
      <c r="G44" s="29"/>
      <c r="I44" s="100" t="s">
        <v>60</v>
      </c>
      <c r="J44" s="100" t="s">
        <v>60</v>
      </c>
      <c r="K44" s="100" t="s">
        <v>60</v>
      </c>
      <c r="L44" s="100" t="s">
        <v>60</v>
      </c>
      <c r="M44" s="93"/>
      <c r="U44" s="263" t="s">
        <v>628</v>
      </c>
      <c r="V44" s="263"/>
      <c r="W44" s="263"/>
      <c r="X44" s="263"/>
      <c r="Y44" s="263"/>
    </row>
    <row r="45" spans="1:25" ht="16.5" customHeight="1" x14ac:dyDescent="0.3">
      <c r="A45" s="109" t="s">
        <v>169</v>
      </c>
      <c r="B45" s="105"/>
      <c r="C45" s="227" t="s">
        <v>567</v>
      </c>
      <c r="D45" s="160"/>
      <c r="E45" s="70">
        <v>175</v>
      </c>
      <c r="F45" s="32">
        <f t="shared" si="1"/>
        <v>175</v>
      </c>
      <c r="G45" s="29"/>
      <c r="I45" s="36" t="s">
        <v>586</v>
      </c>
      <c r="J45" s="35">
        <v>45</v>
      </c>
      <c r="K45" s="55" t="s">
        <v>440</v>
      </c>
      <c r="L45" s="36">
        <v>1.6</v>
      </c>
      <c r="M45" s="39">
        <f>IFERROR(J45/(_xlfn.XLOOKUP(K45,$S$33:$S$37,$R$33:$R$37))*L45,0)</f>
        <v>18</v>
      </c>
      <c r="U45" s="263"/>
      <c r="V45" s="263"/>
      <c r="W45" s="263"/>
      <c r="X45" s="263"/>
      <c r="Y45" s="263"/>
    </row>
    <row r="46" spans="1:25" ht="16.5" customHeight="1" x14ac:dyDescent="0.3">
      <c r="A46" s="109" t="s">
        <v>471</v>
      </c>
      <c r="B46" s="105"/>
      <c r="C46" s="227" t="s">
        <v>568</v>
      </c>
      <c r="D46" s="160"/>
      <c r="E46" s="70">
        <v>8</v>
      </c>
      <c r="F46" s="32">
        <f t="shared" si="1"/>
        <v>8</v>
      </c>
      <c r="G46" s="29"/>
      <c r="I46" s="36" t="s">
        <v>585</v>
      </c>
      <c r="J46" s="35">
        <v>70</v>
      </c>
      <c r="K46" s="55" t="s">
        <v>440</v>
      </c>
      <c r="L46" s="36">
        <v>1.25</v>
      </c>
      <c r="M46" s="39">
        <f t="shared" ref="M46" si="2">IFERROR(J46/(_xlfn.XLOOKUP(K46,$S$33:$S$37,$R$33:$R$37))*L46,0)</f>
        <v>21.875</v>
      </c>
      <c r="U46" s="263"/>
      <c r="V46" s="263"/>
      <c r="W46" s="263"/>
      <c r="X46" s="263"/>
      <c r="Y46" s="263"/>
    </row>
    <row r="47" spans="1:25" ht="16.5" customHeight="1" x14ac:dyDescent="0.3">
      <c r="A47" s="109" t="s">
        <v>470</v>
      </c>
      <c r="B47" s="105"/>
      <c r="C47" s="227" t="s">
        <v>569</v>
      </c>
      <c r="D47" s="160"/>
      <c r="E47" s="70">
        <v>55</v>
      </c>
      <c r="F47" s="32">
        <f t="shared" si="1"/>
        <v>55</v>
      </c>
      <c r="G47" s="29"/>
      <c r="I47" s="36" t="s">
        <v>587</v>
      </c>
      <c r="J47" s="35">
        <v>31.98</v>
      </c>
      <c r="K47" s="55" t="s">
        <v>439</v>
      </c>
      <c r="L47" s="36">
        <v>20</v>
      </c>
      <c r="M47" s="39">
        <f>IFERROR(J47/(_xlfn.XLOOKUP(K47,$S$33:$S$37,$R$33:$R$37))*L47,0)</f>
        <v>4.9968750000000002</v>
      </c>
      <c r="U47" s="238"/>
      <c r="V47" s="238"/>
      <c r="W47" s="238"/>
      <c r="X47" s="238"/>
      <c r="Y47" s="238"/>
    </row>
    <row r="48" spans="1:25" ht="16.5" customHeight="1" x14ac:dyDescent="0.3">
      <c r="A48" s="109" t="s">
        <v>366</v>
      </c>
      <c r="B48" s="105"/>
      <c r="C48" s="227" t="s">
        <v>400</v>
      </c>
      <c r="D48" s="160"/>
      <c r="E48" s="69">
        <v>6</v>
      </c>
      <c r="F48" s="32">
        <f t="shared" si="1"/>
        <v>6</v>
      </c>
      <c r="G48" s="29"/>
      <c r="I48" s="36" t="s">
        <v>366</v>
      </c>
      <c r="J48" s="35">
        <v>0</v>
      </c>
      <c r="K48" s="55" t="s">
        <v>441</v>
      </c>
      <c r="L48" s="36">
        <v>0</v>
      </c>
      <c r="M48" s="39">
        <f>IFERROR(J48/(_xlfn.XLOOKUP(K48,$S$33:$S$37,$R$33:$R$37))*L48,0)</f>
        <v>0</v>
      </c>
    </row>
    <row r="49" spans="1:15" ht="16.5" customHeight="1" x14ac:dyDescent="0.3">
      <c r="A49" s="72" t="s">
        <v>475</v>
      </c>
      <c r="B49" s="105"/>
      <c r="C49" s="74"/>
      <c r="D49" s="160"/>
      <c r="E49" s="69">
        <v>0</v>
      </c>
      <c r="F49" s="32">
        <f t="shared" si="1"/>
        <v>0</v>
      </c>
      <c r="G49" s="29"/>
      <c r="I49" s="36" t="s">
        <v>366</v>
      </c>
      <c r="J49" s="35">
        <v>0</v>
      </c>
      <c r="K49" s="55" t="s">
        <v>441</v>
      </c>
      <c r="L49" s="36">
        <v>0</v>
      </c>
      <c r="M49" s="39">
        <f>IFERROR(J49/(_xlfn.XLOOKUP(K49,$S$33:$S$37,$R$33:$R$37))*L49,0)</f>
        <v>0</v>
      </c>
    </row>
    <row r="50" spans="1:15" ht="16.5" customHeight="1" x14ac:dyDescent="0.3">
      <c r="A50" s="73" t="s">
        <v>475</v>
      </c>
      <c r="B50" s="105"/>
      <c r="C50" s="74"/>
      <c r="D50" s="160"/>
      <c r="E50" s="69">
        <v>0</v>
      </c>
      <c r="F50" s="32">
        <f t="shared" si="1"/>
        <v>0</v>
      </c>
      <c r="G50" s="29"/>
    </row>
    <row r="51" spans="1:15" ht="16.5" customHeight="1" x14ac:dyDescent="0.3">
      <c r="A51" s="178" t="s">
        <v>375</v>
      </c>
      <c r="B51" s="179"/>
      <c r="C51" s="19"/>
      <c r="D51" s="26"/>
      <c r="E51" s="62">
        <f>SUM(E44:E50)</f>
        <v>256</v>
      </c>
      <c r="F51" s="32">
        <f>E50</f>
        <v>0</v>
      </c>
      <c r="G51" s="29"/>
      <c r="I51" s="10" t="s">
        <v>32</v>
      </c>
      <c r="J51" s="35">
        <v>28.86</v>
      </c>
      <c r="K51" s="55" t="s">
        <v>438</v>
      </c>
      <c r="L51" s="36">
        <v>1.5</v>
      </c>
      <c r="M51" s="39">
        <f>IFERROR(J51/(_xlfn.XLOOKUP(K51,$S$33:$S$37,$R$33:$R$37))*L51,0)</f>
        <v>2.7056249999999999</v>
      </c>
    </row>
    <row r="52" spans="1:15" ht="16.5" customHeight="1" thickBot="1" x14ac:dyDescent="0.35">
      <c r="A52" s="180" t="s">
        <v>376</v>
      </c>
      <c r="B52" s="164"/>
      <c r="C52" s="20"/>
      <c r="D52" s="22"/>
      <c r="E52" s="25">
        <f>E40+E51</f>
        <v>863.33500500000002</v>
      </c>
      <c r="F52" s="165"/>
      <c r="G52" s="17"/>
      <c r="I52" s="10" t="s">
        <v>67</v>
      </c>
      <c r="J52" s="35">
        <v>0</v>
      </c>
      <c r="K52" s="55" t="s">
        <v>441</v>
      </c>
      <c r="L52" s="36">
        <v>0</v>
      </c>
      <c r="M52" s="39">
        <f t="shared" ref="M52:M55" si="3">IFERROR(J52/(_xlfn.XLOOKUP(K52,$S$33:$S$37,$R$33:$R$37))*L52,0)</f>
        <v>0</v>
      </c>
    </row>
    <row r="53" spans="1:15" ht="16.5" customHeight="1" thickTop="1" x14ac:dyDescent="0.3">
      <c r="A53" s="181" t="s">
        <v>388</v>
      </c>
      <c r="B53" s="167"/>
      <c r="C53" s="182"/>
      <c r="D53" s="128"/>
      <c r="E53" s="183">
        <f>E15-E52</f>
        <v>-15.085005000000137</v>
      </c>
      <c r="F53" s="171"/>
      <c r="G53" s="17"/>
      <c r="I53" s="10" t="s">
        <v>70</v>
      </c>
      <c r="J53" s="35">
        <v>0</v>
      </c>
      <c r="K53" s="55" t="s">
        <v>441</v>
      </c>
      <c r="L53" s="36">
        <v>0</v>
      </c>
      <c r="M53" s="39">
        <f t="shared" si="3"/>
        <v>0</v>
      </c>
      <c r="N53" s="161"/>
    </row>
    <row r="54" spans="1:15" ht="16.5" customHeight="1" x14ac:dyDescent="0.3">
      <c r="A54" s="184"/>
      <c r="B54" s="138"/>
      <c r="C54" s="185"/>
      <c r="D54" s="185"/>
      <c r="E54" s="186"/>
      <c r="F54" s="187"/>
      <c r="G54" s="188"/>
      <c r="I54" s="10" t="s">
        <v>71</v>
      </c>
      <c r="J54" s="35">
        <v>0</v>
      </c>
      <c r="K54" s="55" t="s">
        <v>441</v>
      </c>
      <c r="L54" s="36">
        <v>0</v>
      </c>
      <c r="M54" s="39">
        <f t="shared" si="3"/>
        <v>0</v>
      </c>
    </row>
    <row r="55" spans="1:15" ht="16.5" customHeight="1" x14ac:dyDescent="0.3">
      <c r="A55" s="189" t="s">
        <v>363</v>
      </c>
      <c r="B55" s="190"/>
      <c r="C55" s="190"/>
      <c r="D55" s="190"/>
      <c r="E55" s="190"/>
      <c r="F55" s="191"/>
      <c r="G55" s="192"/>
      <c r="I55" s="10" t="s">
        <v>69</v>
      </c>
      <c r="J55" s="35">
        <v>0</v>
      </c>
      <c r="K55" s="55" t="s">
        <v>441</v>
      </c>
      <c r="L55" s="36">
        <v>0</v>
      </c>
      <c r="M55" s="39">
        <f t="shared" si="3"/>
        <v>0</v>
      </c>
    </row>
    <row r="56" spans="1:15" ht="16.5" customHeight="1" x14ac:dyDescent="0.3">
      <c r="A56" s="193"/>
      <c r="B56" s="194"/>
      <c r="C56" s="195"/>
      <c r="D56" s="195"/>
      <c r="E56" s="195"/>
      <c r="F56" s="196"/>
      <c r="G56" s="197"/>
      <c r="I56" s="10" t="s">
        <v>499</v>
      </c>
      <c r="J56" s="35">
        <v>0</v>
      </c>
      <c r="K56" s="55" t="s">
        <v>441</v>
      </c>
      <c r="L56" s="36">
        <v>0</v>
      </c>
      <c r="M56" s="39">
        <f>IFERROR(J56/(_xlfn.XLOOKUP(K56,$S$33:$S$37,$R$33:$R$37))*L56,0)</f>
        <v>0</v>
      </c>
    </row>
    <row r="57" spans="1:15" ht="16.5" customHeight="1" x14ac:dyDescent="0.3">
      <c r="A57" s="176" t="s">
        <v>389</v>
      </c>
      <c r="B57" s="198"/>
      <c r="C57" s="195"/>
      <c r="D57" s="195"/>
      <c r="E57" s="195"/>
      <c r="F57" s="199"/>
      <c r="G57" s="17"/>
      <c r="I57" s="65" t="s">
        <v>500</v>
      </c>
      <c r="J57" s="35">
        <v>0</v>
      </c>
      <c r="K57" s="55" t="s">
        <v>441</v>
      </c>
      <c r="L57" s="36">
        <v>0</v>
      </c>
      <c r="M57" s="39">
        <f t="shared" ref="M57" si="4">IFERROR(J57/(_xlfn.XLOOKUP(K57,$S$33:$S$37,$R$33:$R$37))*L57,0)</f>
        <v>0</v>
      </c>
    </row>
    <row r="58" spans="1:15" ht="16.5" customHeight="1" x14ac:dyDescent="0.3">
      <c r="A58" s="200" t="s">
        <v>394</v>
      </c>
      <c r="B58" s="201"/>
      <c r="C58" s="202"/>
      <c r="D58" s="202"/>
      <c r="E58" s="138">
        <f>E52/E9</f>
        <v>4.427359</v>
      </c>
      <c r="F58" s="203" t="s">
        <v>395</v>
      </c>
      <c r="G58" s="17"/>
    </row>
    <row r="59" spans="1:15" ht="16.5" customHeight="1" thickBot="1" x14ac:dyDescent="0.35">
      <c r="A59" s="204" t="s">
        <v>362</v>
      </c>
      <c r="B59" s="205"/>
      <c r="C59" s="206"/>
      <c r="D59" s="206"/>
      <c r="E59" s="207">
        <f>E52/E8</f>
        <v>198.46781724137932</v>
      </c>
      <c r="F59" s="208" t="s">
        <v>443</v>
      </c>
      <c r="G59" s="17"/>
      <c r="I59" s="271" t="s">
        <v>498</v>
      </c>
      <c r="J59" s="271"/>
      <c r="K59" s="271"/>
      <c r="L59" s="271"/>
      <c r="M59" s="271"/>
    </row>
    <row r="60" spans="1:15" ht="16.5" customHeight="1" x14ac:dyDescent="0.3">
      <c r="A60" s="89"/>
      <c r="B60" s="89"/>
      <c r="C60" s="89"/>
      <c r="D60" s="89"/>
      <c r="E60" s="89"/>
      <c r="F60" s="89"/>
      <c r="G60" s="17"/>
      <c r="I60" s="132" t="s">
        <v>424</v>
      </c>
      <c r="J60" s="132" t="s">
        <v>436</v>
      </c>
      <c r="K60" s="162" t="s">
        <v>434</v>
      </c>
      <c r="L60" s="132" t="s">
        <v>432</v>
      </c>
      <c r="M60" s="93" t="s">
        <v>404</v>
      </c>
    </row>
    <row r="61" spans="1:15" ht="16.5" customHeight="1" x14ac:dyDescent="0.3">
      <c r="A61" s="151" t="s">
        <v>446</v>
      </c>
      <c r="G61" s="17"/>
      <c r="I61" s="100" t="s">
        <v>60</v>
      </c>
      <c r="J61" s="100" t="s">
        <v>60</v>
      </c>
      <c r="K61" s="100" t="s">
        <v>60</v>
      </c>
      <c r="L61" s="100" t="s">
        <v>60</v>
      </c>
      <c r="M61" s="93"/>
    </row>
    <row r="62" spans="1:15" ht="16.5" customHeight="1" x14ac:dyDescent="0.3">
      <c r="A62" s="151" t="s">
        <v>447</v>
      </c>
      <c r="G62" s="17"/>
      <c r="I62" s="36" t="s">
        <v>582</v>
      </c>
      <c r="J62" s="35">
        <v>312</v>
      </c>
      <c r="K62" s="55" t="s">
        <v>439</v>
      </c>
      <c r="L62" s="36">
        <v>7</v>
      </c>
      <c r="M62" s="39">
        <f>IFERROR(J62/(_xlfn.XLOOKUP(K62,$S$33:$S$37,$R$33:$R$37))*L62,0)</f>
        <v>17.0625</v>
      </c>
    </row>
    <row r="63" spans="1:15" ht="16.5" customHeight="1" x14ac:dyDescent="0.3">
      <c r="A63" s="209"/>
      <c r="B63" s="151"/>
      <c r="C63" s="151"/>
      <c r="D63" s="151"/>
      <c r="E63" s="151"/>
      <c r="F63" s="151"/>
      <c r="G63" s="21"/>
      <c r="I63" s="36" t="s">
        <v>366</v>
      </c>
      <c r="J63" s="35">
        <v>0</v>
      </c>
      <c r="K63" s="55" t="s">
        <v>441</v>
      </c>
      <c r="L63" s="36">
        <v>0</v>
      </c>
      <c r="M63" s="39">
        <f t="shared" ref="M63:M64" si="5">IFERROR(J63/(_xlfn.XLOOKUP(K63,$S$33:$S$37,$R$33:$R$37))*L63,0)</f>
        <v>0</v>
      </c>
    </row>
    <row r="64" spans="1:15" ht="16.5" customHeight="1" x14ac:dyDescent="0.3">
      <c r="A64" s="209"/>
      <c r="B64" s="151"/>
      <c r="C64" s="151"/>
      <c r="D64" s="151"/>
      <c r="E64" s="151"/>
      <c r="F64" s="151"/>
      <c r="G64" s="21"/>
      <c r="I64" s="36" t="s">
        <v>366</v>
      </c>
      <c r="J64" s="35">
        <v>0</v>
      </c>
      <c r="K64" s="55" t="s">
        <v>441</v>
      </c>
      <c r="L64" s="36">
        <v>0</v>
      </c>
      <c r="M64" s="39">
        <f t="shared" si="5"/>
        <v>0</v>
      </c>
      <c r="O64" s="2"/>
    </row>
    <row r="65" spans="1:15" ht="16.5" customHeight="1" x14ac:dyDescent="0.3">
      <c r="G65" s="21"/>
      <c r="L65" s="7"/>
      <c r="O65" s="2"/>
    </row>
    <row r="66" spans="1:15" ht="16.5" customHeight="1" x14ac:dyDescent="0.3">
      <c r="A66" s="211"/>
      <c r="B66" s="146"/>
      <c r="C66" s="146"/>
      <c r="D66" s="146"/>
      <c r="E66" s="146"/>
      <c r="G66" s="21"/>
      <c r="I66" s="10" t="s">
        <v>32</v>
      </c>
      <c r="J66" s="35">
        <v>0</v>
      </c>
      <c r="K66" s="55" t="s">
        <v>441</v>
      </c>
      <c r="L66" s="36">
        <v>0</v>
      </c>
      <c r="M66" s="39">
        <f>IFERROR(J66/(_xlfn.XLOOKUP(K66,$S$33:$S$37,$R$33:$R$37))*L66,0)</f>
        <v>0</v>
      </c>
      <c r="O66" s="2"/>
    </row>
    <row r="67" spans="1:15" ht="16.5" customHeight="1" x14ac:dyDescent="0.3">
      <c r="F67" s="146"/>
      <c r="G67" s="21"/>
      <c r="I67" s="10" t="s">
        <v>67</v>
      </c>
      <c r="J67" s="35">
        <v>0</v>
      </c>
      <c r="K67" s="55" t="s">
        <v>441</v>
      </c>
      <c r="L67" s="36">
        <v>0</v>
      </c>
      <c r="M67" s="39">
        <f t="shared" ref="M67:M70" si="6">IFERROR(J67/(_xlfn.XLOOKUP(K67,$S$33:$S$37,$R$33:$R$37))*L67,0)</f>
        <v>0</v>
      </c>
      <c r="O67" s="2"/>
    </row>
    <row r="68" spans="1:15" ht="16.5" customHeight="1" x14ac:dyDescent="0.3">
      <c r="G68" s="21"/>
      <c r="I68" s="10" t="s">
        <v>70</v>
      </c>
      <c r="J68" s="35">
        <v>0</v>
      </c>
      <c r="K68" s="55" t="s">
        <v>441</v>
      </c>
      <c r="L68" s="36">
        <v>0</v>
      </c>
      <c r="M68" s="39">
        <f t="shared" si="6"/>
        <v>0</v>
      </c>
      <c r="O68" s="2"/>
    </row>
    <row r="69" spans="1:15" ht="16.5" customHeight="1" x14ac:dyDescent="0.3">
      <c r="G69" s="21"/>
      <c r="I69" s="10" t="s">
        <v>71</v>
      </c>
      <c r="J69" s="35">
        <v>0</v>
      </c>
      <c r="K69" s="55" t="s">
        <v>441</v>
      </c>
      <c r="L69" s="36">
        <v>0</v>
      </c>
      <c r="M69" s="39">
        <f t="shared" si="6"/>
        <v>0</v>
      </c>
      <c r="O69" s="2"/>
    </row>
    <row r="70" spans="1:15" ht="16.5" customHeight="1" x14ac:dyDescent="0.3">
      <c r="G70" s="21"/>
      <c r="I70" s="10" t="s">
        <v>69</v>
      </c>
      <c r="J70" s="35">
        <v>0</v>
      </c>
      <c r="K70" s="55" t="s">
        <v>441</v>
      </c>
      <c r="L70" s="36">
        <v>0</v>
      </c>
      <c r="M70" s="39">
        <f t="shared" si="6"/>
        <v>0</v>
      </c>
      <c r="O70" s="2"/>
    </row>
    <row r="71" spans="1:15" ht="16.5" customHeight="1" x14ac:dyDescent="0.3">
      <c r="G71" s="21"/>
      <c r="I71" s="10" t="s">
        <v>499</v>
      </c>
      <c r="J71" s="35">
        <v>21</v>
      </c>
      <c r="K71" s="55" t="s">
        <v>440</v>
      </c>
      <c r="L71" s="36">
        <v>0.2</v>
      </c>
      <c r="M71" s="39">
        <f>IFERROR(J71/(_xlfn.XLOOKUP(K71,$S$33:$S$37,$R$33:$R$37))*L71,0)</f>
        <v>1.05</v>
      </c>
    </row>
    <row r="72" spans="1:15" ht="16.5" customHeight="1" x14ac:dyDescent="0.3">
      <c r="G72" s="21"/>
      <c r="I72" s="65" t="s">
        <v>500</v>
      </c>
      <c r="J72" s="35">
        <v>0</v>
      </c>
      <c r="K72" s="55" t="s">
        <v>441</v>
      </c>
      <c r="L72" s="36">
        <v>0</v>
      </c>
      <c r="M72" s="39">
        <f t="shared" ref="M72" si="7">IFERROR(J72/(_xlfn.XLOOKUP(K72,$S$33:$S$37,$R$33:$R$37))*L72,0)</f>
        <v>0</v>
      </c>
    </row>
    <row r="73" spans="1:15" ht="16.5" customHeight="1" x14ac:dyDescent="0.3">
      <c r="G73" s="21"/>
    </row>
    <row r="74" spans="1:15" ht="16.5" customHeight="1" x14ac:dyDescent="0.3">
      <c r="G74" s="21"/>
      <c r="I74" s="132" t="s">
        <v>625</v>
      </c>
      <c r="J74" s="132" t="s">
        <v>627</v>
      </c>
      <c r="K74" s="162"/>
      <c r="L74" s="132" t="s">
        <v>626</v>
      </c>
      <c r="M74" s="93" t="s">
        <v>404</v>
      </c>
    </row>
    <row r="75" spans="1:15" ht="16.5" customHeight="1" x14ac:dyDescent="0.3">
      <c r="G75" s="21"/>
      <c r="I75" s="117" t="s">
        <v>629</v>
      </c>
      <c r="J75" s="35">
        <v>6.65</v>
      </c>
      <c r="K75" s="37"/>
      <c r="L75" s="36">
        <v>1</v>
      </c>
      <c r="M75" s="39">
        <f>J75*L75</f>
        <v>6.65</v>
      </c>
    </row>
    <row r="76" spans="1:15" ht="16.5" customHeight="1" x14ac:dyDescent="0.3">
      <c r="G76" s="21"/>
      <c r="I76" s="117" t="s">
        <v>168</v>
      </c>
      <c r="J76" s="35">
        <v>10</v>
      </c>
      <c r="K76" s="37"/>
      <c r="L76" s="36">
        <v>0</v>
      </c>
      <c r="M76" s="39">
        <f>J76*L76</f>
        <v>0</v>
      </c>
      <c r="N76" s="44"/>
    </row>
    <row r="77" spans="1:15" ht="16.5" customHeight="1" x14ac:dyDescent="0.3">
      <c r="G77" s="21"/>
      <c r="N77" s="37"/>
    </row>
    <row r="78" spans="1:15" ht="16.5" customHeight="1" x14ac:dyDescent="0.3">
      <c r="G78" s="21"/>
      <c r="L78" s="152" t="s">
        <v>431</v>
      </c>
      <c r="M78" s="153">
        <f>SUM(M45:M76)</f>
        <v>72.34</v>
      </c>
    </row>
    <row r="79" spans="1:15" ht="16.5" customHeight="1" x14ac:dyDescent="0.3">
      <c r="G79" s="21"/>
    </row>
    <row r="80" spans="1:15" ht="16.5" customHeight="1" x14ac:dyDescent="0.3">
      <c r="G80" s="21"/>
    </row>
    <row r="81" spans="7:13" ht="16.5" customHeight="1" x14ac:dyDescent="0.3">
      <c r="G81" s="21"/>
    </row>
    <row r="82" spans="7:13" ht="16.5" customHeight="1" x14ac:dyDescent="0.3">
      <c r="G82" s="21"/>
    </row>
    <row r="83" spans="7:13" ht="16.5" customHeight="1" x14ac:dyDescent="0.3">
      <c r="G83" s="21"/>
    </row>
    <row r="84" spans="7:13" ht="16.5" customHeight="1" x14ac:dyDescent="0.3">
      <c r="G84" s="21"/>
      <c r="I84" s="44"/>
      <c r="J84" s="44"/>
      <c r="K84" s="44"/>
      <c r="L84" s="44"/>
      <c r="M84" s="44"/>
    </row>
    <row r="85" spans="7:13" ht="16.5" customHeight="1" x14ac:dyDescent="0.3">
      <c r="G85" s="21"/>
      <c r="I85" s="44"/>
      <c r="J85" s="44"/>
      <c r="K85" s="44"/>
      <c r="L85" s="44"/>
      <c r="M85" s="44"/>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2"/>
    </row>
    <row r="110" spans="7:7" ht="16.5" hidden="1" customHeight="1" x14ac:dyDescent="0.3">
      <c r="G110" s="212"/>
    </row>
    <row r="111" spans="7:7" ht="8.1" hidden="1" customHeight="1" x14ac:dyDescent="0.3">
      <c r="G111" s="212"/>
    </row>
    <row r="112" spans="7:7" ht="16.5" hidden="1" customHeight="1" x14ac:dyDescent="0.3">
      <c r="G112" s="212"/>
    </row>
    <row r="113" spans="1:7" ht="16.5" hidden="1" customHeight="1" x14ac:dyDescent="0.3">
      <c r="G113" s="212"/>
    </row>
    <row r="114" spans="1:7" ht="16.5" hidden="1" customHeight="1" x14ac:dyDescent="0.3">
      <c r="G114" s="212"/>
    </row>
    <row r="115" spans="1:7" ht="6.75" hidden="1" customHeight="1" x14ac:dyDescent="0.3">
      <c r="G115" s="213"/>
    </row>
    <row r="116" spans="1:7" ht="16.5" hidden="1" customHeight="1" x14ac:dyDescent="0.3">
      <c r="G116" s="213"/>
    </row>
    <row r="117" spans="1:7" ht="16.5" hidden="1" customHeight="1" x14ac:dyDescent="0.3">
      <c r="G117" s="213"/>
    </row>
    <row r="118" spans="1:7" ht="16.5" hidden="1" customHeight="1" x14ac:dyDescent="0.35">
      <c r="A118" s="214"/>
      <c r="B118" s="215"/>
      <c r="C118" s="215"/>
      <c r="D118" s="215"/>
      <c r="E118" s="215"/>
      <c r="G118" s="213"/>
    </row>
    <row r="119" spans="1:7" ht="16.5" hidden="1" customHeight="1" x14ac:dyDescent="0.35">
      <c r="F119" s="215"/>
      <c r="G119" s="201"/>
    </row>
    <row r="120" spans="1:7" ht="16.5" hidden="1" customHeight="1" x14ac:dyDescent="0.3">
      <c r="G120" s="216"/>
    </row>
    <row r="121" spans="1:7" ht="16.5" hidden="1" customHeight="1" x14ac:dyDescent="0.3">
      <c r="G121" s="201"/>
    </row>
    <row r="122" spans="1:7" ht="16.5" hidden="1" customHeight="1" x14ac:dyDescent="0.3">
      <c r="G122" s="217"/>
    </row>
    <row r="123" spans="1:7" ht="16.5" hidden="1" customHeight="1" x14ac:dyDescent="0.3">
      <c r="G123" s="218"/>
    </row>
    <row r="124" spans="1:7" ht="16.5" hidden="1" customHeight="1" x14ac:dyDescent="0.3">
      <c r="G124" s="219"/>
    </row>
    <row r="125" spans="1:7" ht="16.5" hidden="1" customHeight="1" x14ac:dyDescent="0.3">
      <c r="G125" s="218"/>
    </row>
    <row r="126" spans="1:7" ht="16.5" hidden="1" customHeight="1" x14ac:dyDescent="0.3">
      <c r="G126" s="219"/>
    </row>
    <row r="127" spans="1:7" ht="16.5" hidden="1" customHeight="1" x14ac:dyDescent="0.3">
      <c r="G127" s="220"/>
    </row>
    <row r="128" spans="1:7" ht="16.5" hidden="1" customHeight="1" x14ac:dyDescent="0.3">
      <c r="G128" s="213"/>
    </row>
    <row r="129" spans="7:7" ht="18.75" hidden="1" customHeight="1" x14ac:dyDescent="0.3">
      <c r="G129" s="66"/>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6"/>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pans="9:13" s="210" customFormat="1" hidden="1" x14ac:dyDescent="0.3">
      <c r="I145" s="10"/>
      <c r="J145" s="10"/>
      <c r="K145" s="10"/>
      <c r="L145" s="10"/>
      <c r="M145" s="10"/>
    </row>
    <row r="146" spans="9:13" s="210" customFormat="1" hidden="1" x14ac:dyDescent="0.3">
      <c r="I146" s="10"/>
      <c r="J146" s="10"/>
      <c r="K146" s="10"/>
      <c r="L146" s="10"/>
      <c r="M146" s="10"/>
    </row>
    <row r="147" spans="9:13" s="210" customFormat="1" hidden="1" x14ac:dyDescent="0.3">
      <c r="I147" s="10"/>
      <c r="J147" s="10"/>
      <c r="K147" s="10"/>
      <c r="L147" s="10"/>
      <c r="M147" s="10"/>
    </row>
    <row r="148" spans="9:13" s="210" customFormat="1" hidden="1" x14ac:dyDescent="0.3">
      <c r="I148" s="10"/>
      <c r="J148" s="10"/>
      <c r="K148" s="10"/>
      <c r="L148" s="10"/>
      <c r="M148" s="10"/>
    </row>
    <row r="149" spans="9:13" s="210" customFormat="1" hidden="1" x14ac:dyDescent="0.3">
      <c r="I149" s="10"/>
      <c r="J149" s="10"/>
      <c r="K149" s="10"/>
      <c r="L149" s="10"/>
      <c r="M149" s="10"/>
    </row>
    <row r="150" spans="9:13" s="210" customFormat="1" hidden="1" x14ac:dyDescent="0.3">
      <c r="I150" s="10"/>
      <c r="J150" s="10"/>
      <c r="K150" s="10"/>
      <c r="L150" s="10"/>
      <c r="M150" s="10"/>
    </row>
    <row r="151" spans="9:13" s="210" customFormat="1" hidden="1" x14ac:dyDescent="0.3"/>
    <row r="152" spans="9:13" s="210" customFormat="1" hidden="1" x14ac:dyDescent="0.3"/>
    <row r="153" spans="9:13" s="210" customFormat="1" hidden="1" x14ac:dyDescent="0.3"/>
    <row r="154" spans="9:13" s="210" customFormat="1" hidden="1" x14ac:dyDescent="0.3"/>
    <row r="155" spans="9:13" s="210" customFormat="1" hidden="1" x14ac:dyDescent="0.3"/>
    <row r="156" spans="9:13" s="210" customFormat="1" hidden="1" x14ac:dyDescent="0.3"/>
    <row r="157" spans="9:13" s="210" customFormat="1" hidden="1" x14ac:dyDescent="0.3"/>
    <row r="158" spans="9:13" s="210" customFormat="1" hidden="1" x14ac:dyDescent="0.3"/>
    <row r="159" spans="9:13" s="210" customFormat="1" hidden="1" x14ac:dyDescent="0.3"/>
    <row r="160" spans="9:13" s="210" customFormat="1" hidden="1" x14ac:dyDescent="0.3"/>
    <row r="161" s="210" customFormat="1" hidden="1" x14ac:dyDescent="0.3"/>
    <row r="162" s="210" customFormat="1" hidden="1" x14ac:dyDescent="0.3"/>
    <row r="163" s="210" customFormat="1" hidden="1" x14ac:dyDescent="0.3"/>
    <row r="164" s="210" customFormat="1" hidden="1" x14ac:dyDescent="0.3"/>
    <row r="165" s="210" customFormat="1" hidden="1" x14ac:dyDescent="0.3"/>
    <row r="166" s="210" customFormat="1" hidden="1" x14ac:dyDescent="0.3"/>
    <row r="167" s="210" customFormat="1" hidden="1" x14ac:dyDescent="0.3"/>
    <row r="168" s="210" customFormat="1" hidden="1" x14ac:dyDescent="0.3"/>
    <row r="169" s="210" customFormat="1" hidden="1" x14ac:dyDescent="0.3"/>
    <row r="170" s="210" customFormat="1" hidden="1" x14ac:dyDescent="0.3"/>
    <row r="171" s="210" customFormat="1" hidden="1" x14ac:dyDescent="0.3"/>
    <row r="172" s="210" customFormat="1" hidden="1" x14ac:dyDescent="0.3"/>
    <row r="173" s="210" customFormat="1" hidden="1" x14ac:dyDescent="0.3"/>
    <row r="174" s="210" customFormat="1" hidden="1" x14ac:dyDescent="0.3"/>
    <row r="175" s="210" customFormat="1" hidden="1" x14ac:dyDescent="0.3"/>
    <row r="176" s="210" customFormat="1" hidden="1" x14ac:dyDescent="0.3"/>
    <row r="177" spans="9:13" s="210" customFormat="1" hidden="1" x14ac:dyDescent="0.3"/>
    <row r="178" spans="9:13" s="210" customFormat="1" hidden="1" x14ac:dyDescent="0.3"/>
    <row r="179" spans="9:13" s="210" customFormat="1" hidden="1" x14ac:dyDescent="0.3"/>
    <row r="180" spans="9:13" s="210" customFormat="1" hidden="1" x14ac:dyDescent="0.3"/>
    <row r="181" spans="9:13" s="210" customFormat="1" hidden="1" x14ac:dyDescent="0.3"/>
    <row r="182" spans="9:13" s="210" customFormat="1" hidden="1" x14ac:dyDescent="0.3"/>
    <row r="183" spans="9:13" s="210" customFormat="1" hidden="1" x14ac:dyDescent="0.3"/>
    <row r="184" spans="9:13" s="210" customFormat="1" hidden="1" x14ac:dyDescent="0.3"/>
    <row r="185" spans="9:13" s="210" customFormat="1" hidden="1" x14ac:dyDescent="0.3"/>
    <row r="186" spans="9:13" s="210" customFormat="1" hidden="1" x14ac:dyDescent="0.3"/>
    <row r="187" spans="9:13" s="210" customFormat="1" hidden="1" x14ac:dyDescent="0.3"/>
    <row r="188" spans="9:13" s="210" customFormat="1" hidden="1" x14ac:dyDescent="0.3"/>
    <row r="189" spans="9:13" x14ac:dyDescent="0.3">
      <c r="I189" s="210"/>
      <c r="J189" s="210"/>
      <c r="K189" s="210"/>
      <c r="L189" s="210"/>
      <c r="M189" s="210"/>
    </row>
    <row r="190" spans="9:13" x14ac:dyDescent="0.3">
      <c r="I190" s="210"/>
      <c r="J190" s="210"/>
      <c r="K190" s="210"/>
      <c r="L190" s="210"/>
      <c r="M190" s="210"/>
    </row>
    <row r="191" spans="9:13" x14ac:dyDescent="0.3">
      <c r="I191" s="210"/>
      <c r="J191" s="210"/>
      <c r="K191" s="210"/>
      <c r="L191" s="210"/>
      <c r="M191" s="210"/>
    </row>
    <row r="192" spans="9:13" x14ac:dyDescent="0.3">
      <c r="I192" s="210"/>
      <c r="J192" s="210"/>
      <c r="K192" s="210"/>
      <c r="L192" s="210"/>
      <c r="M192" s="210"/>
    </row>
    <row r="193" spans="9:13" x14ac:dyDescent="0.3">
      <c r="I193" s="210"/>
      <c r="J193" s="210"/>
      <c r="K193" s="210"/>
      <c r="L193" s="210"/>
      <c r="M193" s="210"/>
    </row>
    <row r="194" spans="9:13" x14ac:dyDescent="0.3">
      <c r="I194" s="210"/>
      <c r="J194" s="210"/>
      <c r="K194" s="210"/>
      <c r="L194" s="210"/>
      <c r="M194" s="210"/>
    </row>
  </sheetData>
  <sheetProtection sheet="1" objects="1" scenarios="1"/>
  <mergeCells count="16">
    <mergeCell ref="I59:M59"/>
    <mergeCell ref="A14:A15"/>
    <mergeCell ref="B14:B15"/>
    <mergeCell ref="U15:Y15"/>
    <mergeCell ref="A1:F3"/>
    <mergeCell ref="I4:M4"/>
    <mergeCell ref="E5:F5"/>
    <mergeCell ref="I10:M10"/>
    <mergeCell ref="U10:Y13"/>
    <mergeCell ref="T2:Y2"/>
    <mergeCell ref="E6:F6"/>
    <mergeCell ref="U44:Y46"/>
    <mergeCell ref="U26:Y27"/>
    <mergeCell ref="I40:M40"/>
    <mergeCell ref="U37:Y42"/>
    <mergeCell ref="I42:M42"/>
  </mergeCells>
  <conditionalFormatting sqref="E53">
    <cfRule type="expression" dxfId="3" priority="1">
      <formula>$E$53&lt;0</formula>
    </cfRule>
  </conditionalFormatting>
  <conditionalFormatting sqref="F19:F39">
    <cfRule type="dataBar" priority="3">
      <dataBar showValue="0">
        <cfvo type="min"/>
        <cfvo type="max"/>
        <color rgb="FF63C384"/>
      </dataBar>
      <extLst>
        <ext xmlns:x14="http://schemas.microsoft.com/office/spreadsheetml/2009/9/main" uri="{B025F937-C7B1-47D3-B67F-A62EFF666E3E}">
          <x14:id>{0FF5D753-EFBD-4CA8-97C3-61ECC79F26D8}</x14:id>
        </ext>
      </extLst>
    </cfRule>
  </conditionalFormatting>
  <conditionalFormatting sqref="F44:F51">
    <cfRule type="dataBar" priority="2">
      <dataBar showValue="0">
        <cfvo type="min"/>
        <cfvo type="max"/>
        <color rgb="FF63C384"/>
      </dataBar>
      <extLst>
        <ext xmlns:x14="http://schemas.microsoft.com/office/spreadsheetml/2009/9/main" uri="{B025F937-C7B1-47D3-B67F-A62EFF666E3E}">
          <x14:id>{84A3E137-D25D-43F3-8CCF-5B7576073D29}</x14:id>
        </ext>
      </extLst>
    </cfRule>
  </conditionalFormatting>
  <dataValidations count="1">
    <dataValidation type="list" allowBlank="1" showInputMessage="1" showErrorMessage="1" sqref="K51:K57 K66:K72 K45:K49 K62:K64" xr:uid="{136C920A-79F6-4B05-AB70-2006CD916CC1}">
      <formula1>$S$33:$S$37</formula1>
    </dataValidation>
  </dataValidations>
  <hyperlinks>
    <hyperlink ref="U8" r:id="rId1" xr:uid="{1489E82B-0254-4106-B76E-E1E2DF40FD5D}"/>
    <hyperlink ref="U5" r:id="rId2" xr:uid="{8553AF3A-33EA-402A-BAEC-2AFC4709B907}"/>
  </hyperlinks>
  <printOptions horizontalCentered="1"/>
  <pageMargins left="0.25" right="0.25" top="0.5" bottom="0.5" header="0.5" footer="0.5"/>
  <pageSetup scale="74" orientation="portrait" r:id="rId3"/>
  <drawing r:id="rId4"/>
  <extLst>
    <ext xmlns:x14="http://schemas.microsoft.com/office/spreadsheetml/2009/9/main" uri="{78C0D931-6437-407d-A8EE-F0AAD7539E65}">
      <x14:conditionalFormattings>
        <x14:conditionalFormatting xmlns:xm="http://schemas.microsoft.com/office/excel/2006/main">
          <x14:cfRule type="dataBar" id="{0FF5D753-EFBD-4CA8-97C3-61ECC79F26D8}">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84A3E137-D25D-43F3-8CCF-5B7576073D2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65E184-AADA-472D-B4AF-D24865861ABF}">
          <x14:formula1>
            <xm:f>Manure!$C$7:$C$11</xm:f>
          </x14:formula1>
          <xm:sqref>Y18 Y23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C80A-1C43-467C-85F3-0F5A0045E592}">
  <sheetPr>
    <tabColor rgb="FF18453B"/>
    <pageSetUpPr fitToPage="1"/>
  </sheetPr>
  <dimension ref="A1:Y188"/>
  <sheetViews>
    <sheetView topLeftCell="A13" zoomScale="80" zoomScaleNormal="80" workbookViewId="0">
      <selection activeCell="T53" sqref="T53"/>
    </sheetView>
  </sheetViews>
  <sheetFormatPr defaultColWidth="9.140625" defaultRowHeight="18.75" x14ac:dyDescent="0.3"/>
  <cols>
    <col min="1" max="1" width="50" style="210" customWidth="1"/>
    <col min="2" max="2" width="2.42578125" style="10" customWidth="1"/>
    <col min="3" max="3" width="14.7109375" style="10" bestFit="1" customWidth="1"/>
    <col min="4" max="4" width="2.85546875" style="10" customWidth="1"/>
    <col min="5" max="5" width="15.42578125" style="10"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48" t="s">
        <v>444</v>
      </c>
      <c r="B1" s="249"/>
      <c r="C1" s="249"/>
      <c r="D1" s="249"/>
      <c r="E1" s="249"/>
      <c r="F1" s="250"/>
      <c r="G1" s="86"/>
    </row>
    <row r="2" spans="1:25" ht="15.75" customHeight="1" x14ac:dyDescent="0.3">
      <c r="A2" s="251"/>
      <c r="B2" s="252"/>
      <c r="C2" s="252"/>
      <c r="D2" s="252"/>
      <c r="E2" s="252"/>
      <c r="F2" s="253"/>
      <c r="G2" s="86"/>
      <c r="T2" s="265" t="s">
        <v>545</v>
      </c>
      <c r="U2" s="266"/>
      <c r="V2" s="266"/>
      <c r="W2" s="266"/>
      <c r="X2" s="266"/>
      <c r="Y2" s="267"/>
    </row>
    <row r="3" spans="1:25" ht="15.75" customHeight="1" thickBot="1" x14ac:dyDescent="0.35">
      <c r="A3" s="254"/>
      <c r="B3" s="255"/>
      <c r="C3" s="255"/>
      <c r="D3" s="255"/>
      <c r="E3" s="255"/>
      <c r="F3" s="256"/>
      <c r="G3" s="86"/>
    </row>
    <row r="4" spans="1:25" ht="19.5" thickBot="1" x14ac:dyDescent="0.35">
      <c r="A4" s="87"/>
      <c r="B4" s="88"/>
      <c r="C4" s="89"/>
      <c r="D4" s="89"/>
      <c r="E4" s="89"/>
      <c r="F4" s="90"/>
      <c r="G4" s="86"/>
      <c r="I4" s="265" t="s">
        <v>418</v>
      </c>
      <c r="J4" s="266"/>
      <c r="K4" s="266"/>
      <c r="L4" s="266"/>
      <c r="M4" s="267"/>
      <c r="U4" s="10" t="s">
        <v>493</v>
      </c>
    </row>
    <row r="5" spans="1:25" ht="21.75" thickBot="1" x14ac:dyDescent="0.35">
      <c r="A5" s="91"/>
      <c r="B5" s="92"/>
      <c r="C5" s="92"/>
      <c r="D5" s="92"/>
      <c r="E5" s="261" t="s">
        <v>552</v>
      </c>
      <c r="F5" s="262"/>
      <c r="G5" s="86"/>
      <c r="I5" s="93" t="s">
        <v>549</v>
      </c>
      <c r="J5" s="94" t="s">
        <v>402</v>
      </c>
      <c r="K5" s="94" t="s">
        <v>403</v>
      </c>
      <c r="L5" s="93"/>
      <c r="M5" s="93" t="s">
        <v>404</v>
      </c>
      <c r="U5" s="95" t="s">
        <v>496</v>
      </c>
    </row>
    <row r="6" spans="1:25" ht="19.5" customHeight="1" x14ac:dyDescent="0.3">
      <c r="A6" s="96" t="s">
        <v>59</v>
      </c>
      <c r="B6" s="97"/>
      <c r="D6" s="98"/>
      <c r="E6" s="268" t="s">
        <v>589</v>
      </c>
      <c r="F6" s="269"/>
      <c r="G6" s="86"/>
      <c r="I6" s="100" t="s">
        <v>60</v>
      </c>
      <c r="J6" s="100" t="s">
        <v>60</v>
      </c>
      <c r="K6" s="100" t="s">
        <v>60</v>
      </c>
      <c r="L6" s="100"/>
      <c r="M6" s="2"/>
    </row>
    <row r="7" spans="1:25" ht="16.5" customHeight="1" x14ac:dyDescent="0.3">
      <c r="A7" s="101" t="s">
        <v>290</v>
      </c>
      <c r="B7" s="102"/>
      <c r="D7" s="98"/>
      <c r="E7" s="103"/>
      <c r="F7" s="99"/>
      <c r="G7" s="86"/>
      <c r="I7" s="35">
        <v>325</v>
      </c>
      <c r="J7" s="36">
        <v>80000</v>
      </c>
      <c r="K7" s="36">
        <v>33600</v>
      </c>
      <c r="L7" s="100"/>
      <c r="M7" s="45">
        <f>I7/J7*K7</f>
        <v>136.5</v>
      </c>
      <c r="U7" s="10" t="s">
        <v>494</v>
      </c>
    </row>
    <row r="8" spans="1:25" ht="16.5" customHeight="1" x14ac:dyDescent="0.3">
      <c r="A8" s="104" t="s">
        <v>550</v>
      </c>
      <c r="B8" s="105"/>
      <c r="C8" s="106"/>
      <c r="D8" s="107"/>
      <c r="E8" s="67">
        <v>4.3499999999999996</v>
      </c>
      <c r="F8" s="30"/>
      <c r="G8" s="108"/>
      <c r="U8" s="95" t="s">
        <v>495</v>
      </c>
    </row>
    <row r="9" spans="1:25" ht="16.5" customHeight="1" x14ac:dyDescent="0.3">
      <c r="A9" s="109" t="s">
        <v>551</v>
      </c>
      <c r="B9" s="105"/>
      <c r="C9" s="110"/>
      <c r="D9" s="111"/>
      <c r="E9" s="68">
        <v>215</v>
      </c>
      <c r="F9" s="99" t="s">
        <v>391</v>
      </c>
      <c r="G9" s="112"/>
    </row>
    <row r="10" spans="1:25" ht="16.5" customHeight="1" x14ac:dyDescent="0.3">
      <c r="A10" s="104" t="s">
        <v>54</v>
      </c>
      <c r="B10" s="105"/>
      <c r="C10" s="110"/>
      <c r="D10" s="111"/>
      <c r="E10" s="71">
        <v>1</v>
      </c>
      <c r="F10" s="99" t="s">
        <v>54</v>
      </c>
      <c r="G10" s="113"/>
      <c r="I10" s="265" t="s">
        <v>407</v>
      </c>
      <c r="J10" s="266"/>
      <c r="K10" s="266"/>
      <c r="L10" s="266"/>
      <c r="M10" s="267"/>
      <c r="U10" s="263" t="s">
        <v>501</v>
      </c>
      <c r="V10" s="264"/>
      <c r="W10" s="264"/>
      <c r="X10" s="264"/>
      <c r="Y10" s="264"/>
    </row>
    <row r="11" spans="1:25" ht="16.5" hidden="1" customHeight="1" x14ac:dyDescent="0.3">
      <c r="A11" s="104"/>
      <c r="B11" s="114"/>
      <c r="C11" s="110"/>
      <c r="D11" s="111"/>
      <c r="E11" s="115"/>
      <c r="F11" s="99"/>
      <c r="G11" s="113"/>
      <c r="U11" s="264"/>
      <c r="V11" s="264"/>
      <c r="W11" s="264"/>
      <c r="X11" s="264"/>
      <c r="Y11" s="264"/>
    </row>
    <row r="12" spans="1:25" ht="16.5" hidden="1" customHeight="1" x14ac:dyDescent="0.3">
      <c r="A12" s="116" t="s">
        <v>371</v>
      </c>
      <c r="B12" s="117"/>
      <c r="C12" s="118"/>
      <c r="D12" s="119"/>
      <c r="E12" s="120">
        <v>0</v>
      </c>
      <c r="F12" s="121"/>
      <c r="G12" s="122"/>
      <c r="U12" s="264"/>
      <c r="V12" s="264"/>
      <c r="W12" s="264"/>
      <c r="X12" s="264"/>
      <c r="Y12" s="264"/>
    </row>
    <row r="13" spans="1:25" ht="16.5" customHeight="1" x14ac:dyDescent="0.3">
      <c r="A13" s="104"/>
      <c r="B13" s="123"/>
      <c r="C13" s="124"/>
      <c r="D13" s="125"/>
      <c r="E13" s="126"/>
      <c r="F13" s="99"/>
      <c r="G13" s="113"/>
      <c r="U13" s="264"/>
      <c r="V13" s="264"/>
      <c r="W13" s="264"/>
      <c r="X13" s="264"/>
      <c r="Y13" s="264"/>
    </row>
    <row r="14" spans="1:25" ht="16.5" customHeight="1" x14ac:dyDescent="0.3">
      <c r="A14" s="257" t="s">
        <v>291</v>
      </c>
      <c r="B14" s="259"/>
      <c r="C14" s="124"/>
      <c r="D14" s="128"/>
      <c r="E14" s="129" t="s">
        <v>35</v>
      </c>
      <c r="F14" s="130"/>
      <c r="G14" s="131"/>
      <c r="I14" s="132" t="s">
        <v>424</v>
      </c>
      <c r="J14" s="132" t="s">
        <v>425</v>
      </c>
      <c r="K14" s="132" t="s">
        <v>434</v>
      </c>
      <c r="L14" s="132" t="s">
        <v>432</v>
      </c>
      <c r="M14" s="93" t="s">
        <v>404</v>
      </c>
    </row>
    <row r="15" spans="1:25" ht="16.5" customHeight="1" thickBot="1" x14ac:dyDescent="0.35">
      <c r="A15" s="258"/>
      <c r="B15" s="260"/>
      <c r="C15" s="34"/>
      <c r="D15" s="33"/>
      <c r="E15" s="24">
        <f>(E8*E9)+E12</f>
        <v>935.24999999999989</v>
      </c>
      <c r="F15" s="31"/>
      <c r="G15" s="29"/>
      <c r="I15" s="132"/>
      <c r="J15" s="100" t="s">
        <v>60</v>
      </c>
      <c r="K15" s="132"/>
      <c r="L15" s="100" t="s">
        <v>60</v>
      </c>
      <c r="M15" s="93"/>
      <c r="U15" s="272" t="s">
        <v>453</v>
      </c>
      <c r="V15" s="273"/>
      <c r="W15" s="273"/>
      <c r="X15" s="273"/>
      <c r="Y15" s="274"/>
    </row>
    <row r="16" spans="1:25" ht="16.5" customHeight="1" thickTop="1" x14ac:dyDescent="0.3">
      <c r="A16" s="104"/>
      <c r="B16" s="105"/>
      <c r="C16" s="133" t="s">
        <v>445</v>
      </c>
      <c r="D16" s="133"/>
      <c r="E16" s="134"/>
      <c r="F16" s="135"/>
      <c r="G16" s="112"/>
      <c r="I16" s="136" t="s">
        <v>578</v>
      </c>
      <c r="J16" s="35">
        <v>513</v>
      </c>
      <c r="K16" s="37" t="s">
        <v>3</v>
      </c>
      <c r="L16" s="36">
        <v>51.5</v>
      </c>
      <c r="M16" s="39">
        <f>'Fertilizer (Irrigated)'!J5</f>
        <v>140.94803250000001</v>
      </c>
      <c r="U16" s="10" t="s">
        <v>454</v>
      </c>
      <c r="Y16" s="54" t="s">
        <v>455</v>
      </c>
    </row>
    <row r="17" spans="1:25" ht="16.5" customHeight="1" x14ac:dyDescent="0.3">
      <c r="A17" s="137" t="s">
        <v>252</v>
      </c>
      <c r="B17" s="138"/>
      <c r="C17" s="139" t="s">
        <v>392</v>
      </c>
      <c r="D17" s="133"/>
      <c r="E17" s="140"/>
      <c r="F17" s="141"/>
      <c r="G17" s="112"/>
      <c r="I17" s="136" t="s">
        <v>576</v>
      </c>
      <c r="J17" s="35">
        <v>1100</v>
      </c>
      <c r="K17" s="37" t="s">
        <v>435</v>
      </c>
      <c r="L17" s="36">
        <v>0</v>
      </c>
      <c r="M17" s="39">
        <f>'Fertilizer (Irrigated)'!J6</f>
        <v>0</v>
      </c>
      <c r="T17" s="54"/>
      <c r="U17" s="37" t="s">
        <v>51</v>
      </c>
      <c r="V17" s="37" t="s">
        <v>52</v>
      </c>
      <c r="W17" s="37" t="s">
        <v>442</v>
      </c>
      <c r="X17" s="37" t="s">
        <v>53</v>
      </c>
      <c r="Y17" s="100" t="s">
        <v>477</v>
      </c>
    </row>
    <row r="18" spans="1:25" ht="16.5" customHeight="1" x14ac:dyDescent="0.3">
      <c r="A18" s="142" t="s">
        <v>372</v>
      </c>
      <c r="B18" s="138"/>
      <c r="C18" s="139" t="s">
        <v>393</v>
      </c>
      <c r="D18" s="133"/>
      <c r="E18" s="143" t="s">
        <v>35</v>
      </c>
      <c r="F18" s="144"/>
      <c r="G18" s="112"/>
      <c r="I18" s="136" t="s">
        <v>451</v>
      </c>
      <c r="J18" s="35">
        <v>550</v>
      </c>
      <c r="K18" s="37" t="s">
        <v>3</v>
      </c>
      <c r="L18" s="36">
        <v>0</v>
      </c>
      <c r="M18" s="39">
        <f>'Fertilizer (Irrigated)'!J7</f>
        <v>0</v>
      </c>
      <c r="T18" s="100" t="s">
        <v>478</v>
      </c>
      <c r="U18" s="60">
        <v>0</v>
      </c>
      <c r="V18" s="60">
        <v>0</v>
      </c>
      <c r="W18" s="60">
        <v>0</v>
      </c>
      <c r="X18" s="60">
        <v>0</v>
      </c>
      <c r="Y18" s="61" t="s">
        <v>464</v>
      </c>
    </row>
    <row r="19" spans="1:25" ht="16.5" customHeight="1" x14ac:dyDescent="0.3">
      <c r="A19" s="127" t="s">
        <v>36</v>
      </c>
      <c r="B19" s="105"/>
      <c r="C19" s="74" t="s">
        <v>590</v>
      </c>
      <c r="D19" s="26"/>
      <c r="E19" s="145">
        <f>M7</f>
        <v>136.5</v>
      </c>
      <c r="F19" s="32">
        <f t="shared" ref="F19:F39" si="0">E19</f>
        <v>136.5</v>
      </c>
      <c r="G19" s="131"/>
      <c r="I19" s="37" t="s">
        <v>426</v>
      </c>
      <c r="J19" s="35">
        <v>853</v>
      </c>
      <c r="K19" s="37" t="s">
        <v>435</v>
      </c>
      <c r="L19" s="36">
        <v>0</v>
      </c>
      <c r="M19" s="39">
        <f>'Fertilizer (Irrigated)'!J4</f>
        <v>0</v>
      </c>
      <c r="T19" s="146" t="s">
        <v>482</v>
      </c>
      <c r="U19" s="147">
        <f>Manure!G8</f>
        <v>0</v>
      </c>
      <c r="V19" s="147">
        <f>Manure!H8</f>
        <v>0</v>
      </c>
      <c r="W19" s="147">
        <f>Manure!I8</f>
        <v>0</v>
      </c>
      <c r="X19" s="147">
        <f>Manure!J8</f>
        <v>0</v>
      </c>
      <c r="Y19" s="10" t="s">
        <v>457</v>
      </c>
    </row>
    <row r="20" spans="1:25" ht="16.5" customHeight="1" x14ac:dyDescent="0.3">
      <c r="A20" s="104" t="s">
        <v>37</v>
      </c>
      <c r="B20" s="114"/>
      <c r="C20" s="74" t="s">
        <v>591</v>
      </c>
      <c r="D20" s="26"/>
      <c r="E20" s="145">
        <f>M34</f>
        <v>246.13853250000003</v>
      </c>
      <c r="F20" s="32">
        <f t="shared" si="0"/>
        <v>246.13853250000003</v>
      </c>
      <c r="G20" s="29"/>
      <c r="I20" s="37" t="s">
        <v>405</v>
      </c>
      <c r="J20" s="35">
        <v>857</v>
      </c>
      <c r="K20" s="37" t="s">
        <v>435</v>
      </c>
      <c r="L20" s="36">
        <v>120</v>
      </c>
      <c r="M20" s="39">
        <f>'Fertilizer (Irrigated)'!J9+'Fertilizer (Irrigated)'!J15</f>
        <v>51.42</v>
      </c>
    </row>
    <row r="21" spans="1:25" ht="16.5" customHeight="1" x14ac:dyDescent="0.3">
      <c r="A21" s="104" t="s">
        <v>257</v>
      </c>
      <c r="B21" s="114"/>
      <c r="C21" s="74" t="s">
        <v>556</v>
      </c>
      <c r="D21" s="26"/>
      <c r="E21" s="148">
        <f>M78</f>
        <v>73.259375000000006</v>
      </c>
      <c r="F21" s="32">
        <f t="shared" si="0"/>
        <v>73.259375000000006</v>
      </c>
      <c r="G21" s="29"/>
      <c r="I21" s="37" t="s">
        <v>427</v>
      </c>
      <c r="J21" s="35">
        <v>894</v>
      </c>
      <c r="K21" s="37" t="s">
        <v>435</v>
      </c>
      <c r="L21" s="36">
        <v>0</v>
      </c>
      <c r="M21" s="39">
        <f>'Fertilizer (Irrigated)'!J10+'Fertilizer (Irrigated)'!J16</f>
        <v>0</v>
      </c>
      <c r="U21" s="10" t="s">
        <v>458</v>
      </c>
      <c r="Y21" s="54" t="s">
        <v>455</v>
      </c>
    </row>
    <row r="22" spans="1:25" ht="16.5" customHeight="1" x14ac:dyDescent="0.3">
      <c r="A22" s="104" t="s">
        <v>41</v>
      </c>
      <c r="B22" s="105"/>
      <c r="C22" s="74" t="s">
        <v>592</v>
      </c>
      <c r="D22" s="26"/>
      <c r="E22" s="69">
        <v>30</v>
      </c>
      <c r="F22" s="32">
        <f t="shared" si="0"/>
        <v>30</v>
      </c>
      <c r="G22" s="29"/>
      <c r="I22" s="37" t="s">
        <v>488</v>
      </c>
      <c r="J22" s="35">
        <v>700</v>
      </c>
      <c r="K22" s="37" t="s">
        <v>3</v>
      </c>
      <c r="L22" s="36">
        <v>5</v>
      </c>
      <c r="M22" s="39">
        <f>'Fertilizer (Irrigated)'!J8</f>
        <v>20.474999999999998</v>
      </c>
      <c r="O22" s="149">
        <f>J25/2000</f>
        <v>0.33750000000000002</v>
      </c>
      <c r="P22" s="149">
        <f>O22*L25</f>
        <v>15.187500000000002</v>
      </c>
      <c r="U22" s="37" t="s">
        <v>51</v>
      </c>
      <c r="V22" s="37" t="s">
        <v>52</v>
      </c>
      <c r="W22" s="37" t="s">
        <v>442</v>
      </c>
      <c r="X22" s="37" t="s">
        <v>53</v>
      </c>
      <c r="Y22" s="100" t="s">
        <v>477</v>
      </c>
    </row>
    <row r="23" spans="1:25" ht="16.5" customHeight="1" x14ac:dyDescent="0.3">
      <c r="A23" s="104" t="s">
        <v>397</v>
      </c>
      <c r="B23" s="105"/>
      <c r="C23" s="74" t="s">
        <v>593</v>
      </c>
      <c r="D23" s="26"/>
      <c r="E23" s="69">
        <v>2</v>
      </c>
      <c r="F23" s="32">
        <f t="shared" si="0"/>
        <v>2</v>
      </c>
      <c r="G23" s="29"/>
      <c r="I23" s="37" t="s">
        <v>406</v>
      </c>
      <c r="J23" s="35">
        <v>503</v>
      </c>
      <c r="K23" s="37" t="s">
        <v>435</v>
      </c>
      <c r="L23" s="36">
        <v>72</v>
      </c>
      <c r="M23" s="39">
        <f>'Fertilizer (Irrigated)'!J17</f>
        <v>18.108000000000001</v>
      </c>
      <c r="O23" s="2"/>
      <c r="T23" s="100" t="s">
        <v>478</v>
      </c>
      <c r="U23" s="60">
        <v>0</v>
      </c>
      <c r="V23" s="60">
        <v>0</v>
      </c>
      <c r="W23" s="60">
        <v>0</v>
      </c>
      <c r="X23" s="60">
        <v>0</v>
      </c>
      <c r="Y23" s="61" t="s">
        <v>464</v>
      </c>
    </row>
    <row r="24" spans="1:25" ht="16.5" customHeight="1" x14ac:dyDescent="0.3">
      <c r="A24" s="104" t="s">
        <v>396</v>
      </c>
      <c r="B24" s="105"/>
      <c r="C24" s="74" t="s">
        <v>594</v>
      </c>
      <c r="D24" s="26"/>
      <c r="E24" s="69">
        <v>20</v>
      </c>
      <c r="F24" s="32">
        <f t="shared" si="0"/>
        <v>20</v>
      </c>
      <c r="G24" s="29"/>
      <c r="I24" s="37" t="s">
        <v>487</v>
      </c>
      <c r="J24" s="35">
        <v>0</v>
      </c>
      <c r="K24" s="37" t="s">
        <v>435</v>
      </c>
      <c r="L24" s="36">
        <v>0</v>
      </c>
      <c r="M24" s="39">
        <f>'Fertilizer (Irrigated)'!J18</f>
        <v>0</v>
      </c>
      <c r="T24" s="150" t="s">
        <v>483</v>
      </c>
      <c r="U24" s="147">
        <f>Manure!G10</f>
        <v>0</v>
      </c>
      <c r="V24" s="147">
        <f>Manure!H10</f>
        <v>0</v>
      </c>
      <c r="W24" s="147">
        <f>Manure!I10</f>
        <v>0</v>
      </c>
      <c r="X24" s="147">
        <f>Manure!J10</f>
        <v>0</v>
      </c>
      <c r="Y24" s="10" t="s">
        <v>457</v>
      </c>
    </row>
    <row r="25" spans="1:25" ht="16.5" customHeight="1" x14ac:dyDescent="0.3">
      <c r="A25" s="104" t="s">
        <v>43</v>
      </c>
      <c r="B25" s="114"/>
      <c r="C25" s="74" t="s">
        <v>559</v>
      </c>
      <c r="D25" s="26"/>
      <c r="E25" s="70">
        <v>40</v>
      </c>
      <c r="F25" s="32">
        <f t="shared" si="0"/>
        <v>40</v>
      </c>
      <c r="G25" s="29"/>
      <c r="I25" s="37" t="s">
        <v>452</v>
      </c>
      <c r="J25" s="35">
        <v>675</v>
      </c>
      <c r="K25" s="37" t="s">
        <v>435</v>
      </c>
      <c r="L25" s="36">
        <v>45</v>
      </c>
      <c r="M25" s="40">
        <f>'Fertilizer (Irrigated)'!J11+'Fertilizer (Irrigated)'!J20</f>
        <v>15.187499999999998</v>
      </c>
    </row>
    <row r="26" spans="1:25" ht="16.5" customHeight="1" x14ac:dyDescent="0.3">
      <c r="A26" s="104" t="s">
        <v>46</v>
      </c>
      <c r="B26" s="114"/>
      <c r="C26" s="74" t="s">
        <v>595</v>
      </c>
      <c r="D26" s="26"/>
      <c r="E26" s="70">
        <v>64</v>
      </c>
      <c r="F26" s="32">
        <f t="shared" si="0"/>
        <v>64</v>
      </c>
      <c r="G26" s="29"/>
      <c r="I26" s="37" t="s">
        <v>489</v>
      </c>
      <c r="J26" s="35">
        <v>0</v>
      </c>
      <c r="K26" s="37" t="s">
        <v>435</v>
      </c>
      <c r="L26" s="36">
        <v>0</v>
      </c>
      <c r="M26" s="39">
        <f>'Fertilizer (Irrigated)'!J21</f>
        <v>0</v>
      </c>
      <c r="U26" s="263" t="s">
        <v>476</v>
      </c>
      <c r="V26" s="263"/>
      <c r="W26" s="263"/>
      <c r="X26" s="263"/>
      <c r="Y26" s="263"/>
    </row>
    <row r="27" spans="1:25" ht="16.5" customHeight="1" x14ac:dyDescent="0.3">
      <c r="A27" s="104" t="s">
        <v>38</v>
      </c>
      <c r="B27" s="114"/>
      <c r="C27" s="74" t="s">
        <v>561</v>
      </c>
      <c r="D27" s="26"/>
      <c r="E27" s="70">
        <v>18</v>
      </c>
      <c r="F27" s="32">
        <f t="shared" si="0"/>
        <v>18</v>
      </c>
      <c r="G27" s="29"/>
      <c r="I27" s="37" t="s">
        <v>492</v>
      </c>
      <c r="J27" s="35">
        <v>55</v>
      </c>
      <c r="K27" s="37" t="s">
        <v>481</v>
      </c>
      <c r="L27" s="36">
        <v>0</v>
      </c>
      <c r="M27" s="39">
        <f>J27*L27</f>
        <v>0</v>
      </c>
      <c r="U27" s="263"/>
      <c r="V27" s="263"/>
      <c r="W27" s="263"/>
      <c r="X27" s="263"/>
      <c r="Y27" s="263"/>
    </row>
    <row r="28" spans="1:25" ht="16.5" customHeight="1" x14ac:dyDescent="0.3">
      <c r="A28" s="104" t="s">
        <v>390</v>
      </c>
      <c r="B28" s="105"/>
      <c r="C28" s="74" t="s">
        <v>562</v>
      </c>
      <c r="D28" s="26"/>
      <c r="E28" s="70">
        <v>11</v>
      </c>
      <c r="F28" s="32">
        <f t="shared" si="0"/>
        <v>11</v>
      </c>
      <c r="G28" s="29"/>
      <c r="I28" s="37" t="s">
        <v>463</v>
      </c>
      <c r="J28" s="35">
        <v>50</v>
      </c>
      <c r="K28" s="37" t="s">
        <v>481</v>
      </c>
      <c r="L28" s="36">
        <v>0</v>
      </c>
      <c r="M28" s="39">
        <f>J28*L28</f>
        <v>0</v>
      </c>
    </row>
    <row r="29" spans="1:25" ht="16.5" customHeight="1" x14ac:dyDescent="0.3">
      <c r="A29" s="104" t="s">
        <v>42</v>
      </c>
      <c r="B29" s="105"/>
      <c r="C29" s="74" t="s">
        <v>401</v>
      </c>
      <c r="D29" s="26"/>
      <c r="E29" s="70">
        <v>3</v>
      </c>
      <c r="F29" s="32">
        <f t="shared" si="0"/>
        <v>3</v>
      </c>
      <c r="G29" s="29"/>
      <c r="I29" s="37" t="s">
        <v>479</v>
      </c>
      <c r="J29" s="35">
        <v>0.01</v>
      </c>
      <c r="K29" s="37" t="s">
        <v>480</v>
      </c>
      <c r="L29" s="63">
        <v>0</v>
      </c>
      <c r="M29" s="46">
        <f>J29*L29*1000</f>
        <v>0</v>
      </c>
      <c r="U29" s="151" t="s">
        <v>473</v>
      </c>
      <c r="V29" s="151"/>
      <c r="W29" s="151"/>
      <c r="X29" s="151"/>
    </row>
    <row r="30" spans="1:25" ht="16.5" customHeight="1" x14ac:dyDescent="0.3">
      <c r="A30" s="104" t="s">
        <v>48</v>
      </c>
      <c r="B30" s="105"/>
      <c r="C30" s="74" t="s">
        <v>399</v>
      </c>
      <c r="D30" s="26"/>
      <c r="E30" s="69">
        <v>2.5</v>
      </c>
      <c r="F30" s="32">
        <f t="shared" si="0"/>
        <v>2.5</v>
      </c>
      <c r="G30" s="29"/>
      <c r="I30" s="37"/>
      <c r="J30" s="37"/>
      <c r="K30" s="37"/>
      <c r="L30" s="37"/>
      <c r="M30" s="37"/>
      <c r="U30" s="154" t="s">
        <v>51</v>
      </c>
      <c r="V30" s="154" t="s">
        <v>52</v>
      </c>
      <c r="W30" s="154" t="s">
        <v>442</v>
      </c>
      <c r="X30" s="154" t="s">
        <v>53</v>
      </c>
    </row>
    <row r="31" spans="1:25" ht="16.5" customHeight="1" x14ac:dyDescent="0.3">
      <c r="A31" s="104" t="s">
        <v>49</v>
      </c>
      <c r="B31" s="105"/>
      <c r="C31" s="74" t="s">
        <v>563</v>
      </c>
      <c r="D31" s="26"/>
      <c r="E31" s="70">
        <v>5</v>
      </c>
      <c r="F31" s="32">
        <f t="shared" si="0"/>
        <v>5</v>
      </c>
      <c r="G31" s="29"/>
      <c r="I31" s="132" t="s">
        <v>625</v>
      </c>
      <c r="J31" s="132" t="s">
        <v>627</v>
      </c>
      <c r="K31" s="162"/>
      <c r="L31" s="132" t="s">
        <v>626</v>
      </c>
      <c r="M31" s="93" t="s">
        <v>404</v>
      </c>
      <c r="U31" s="154">
        <v>42</v>
      </c>
      <c r="V31" s="154">
        <v>75</v>
      </c>
      <c r="W31" s="154">
        <v>58</v>
      </c>
      <c r="X31" s="154">
        <v>8</v>
      </c>
    </row>
    <row r="32" spans="1:25" ht="16.5" customHeight="1" x14ac:dyDescent="0.3">
      <c r="A32" s="104" t="s">
        <v>368</v>
      </c>
      <c r="B32" s="105"/>
      <c r="C32" s="74" t="s">
        <v>619</v>
      </c>
      <c r="D32" s="26"/>
      <c r="E32" s="70">
        <v>30</v>
      </c>
      <c r="F32" s="32">
        <f t="shared" si="0"/>
        <v>30</v>
      </c>
      <c r="G32" s="29"/>
      <c r="I32" s="37" t="s">
        <v>168</v>
      </c>
      <c r="J32" s="35">
        <v>10</v>
      </c>
      <c r="K32" s="37"/>
      <c r="L32" s="36">
        <v>0</v>
      </c>
      <c r="M32" s="39">
        <f>J32*L32</f>
        <v>0</v>
      </c>
    </row>
    <row r="33" spans="1:25" ht="16.5" customHeight="1" x14ac:dyDescent="0.3">
      <c r="A33" s="109" t="s">
        <v>511</v>
      </c>
      <c r="B33" s="105"/>
      <c r="C33" s="74" t="s">
        <v>513</v>
      </c>
      <c r="D33" s="26"/>
      <c r="E33" s="70">
        <v>0</v>
      </c>
      <c r="F33" s="32">
        <f t="shared" si="0"/>
        <v>0</v>
      </c>
      <c r="G33" s="29"/>
      <c r="R33" s="10">
        <v>0</v>
      </c>
      <c r="S33" s="10" t="s">
        <v>441</v>
      </c>
      <c r="U33" s="151" t="s">
        <v>474</v>
      </c>
      <c r="V33" s="151"/>
      <c r="W33" s="151"/>
      <c r="X33" s="151"/>
    </row>
    <row r="34" spans="1:25" ht="16.5" customHeight="1" x14ac:dyDescent="0.3">
      <c r="A34" s="109" t="s">
        <v>512</v>
      </c>
      <c r="B34" s="105"/>
      <c r="C34" s="74" t="s">
        <v>514</v>
      </c>
      <c r="D34" s="26"/>
      <c r="E34" s="70">
        <v>0</v>
      </c>
      <c r="F34" s="32">
        <f t="shared" si="0"/>
        <v>0</v>
      </c>
      <c r="G34" s="29"/>
      <c r="L34" s="152" t="s">
        <v>431</v>
      </c>
      <c r="M34" s="153">
        <f>SUM(M16:M32)</f>
        <v>246.13853250000003</v>
      </c>
      <c r="R34" s="158">
        <v>8</v>
      </c>
      <c r="S34" s="159" t="s">
        <v>437</v>
      </c>
      <c r="T34" s="159"/>
      <c r="U34" s="154" t="s">
        <v>51</v>
      </c>
      <c r="V34" s="154" t="s">
        <v>52</v>
      </c>
      <c r="W34" s="154" t="s">
        <v>442</v>
      </c>
      <c r="X34" s="154" t="s">
        <v>53</v>
      </c>
    </row>
    <row r="35" spans="1:25" ht="16.5" customHeight="1" x14ac:dyDescent="0.3">
      <c r="A35" s="109" t="s">
        <v>472</v>
      </c>
      <c r="B35" s="105"/>
      <c r="C35" s="227" t="s">
        <v>565</v>
      </c>
      <c r="D35" s="26"/>
      <c r="E35" s="70">
        <v>14</v>
      </c>
      <c r="F35" s="32">
        <f t="shared" si="0"/>
        <v>14</v>
      </c>
      <c r="G35" s="29"/>
      <c r="M35" s="153"/>
      <c r="R35" s="158">
        <v>16</v>
      </c>
      <c r="S35" s="159" t="s">
        <v>438</v>
      </c>
      <c r="T35" s="159"/>
      <c r="U35" s="154">
        <v>43</v>
      </c>
      <c r="V35" s="154">
        <v>17</v>
      </c>
      <c r="W35" s="154">
        <v>38</v>
      </c>
      <c r="X35" s="154">
        <v>10</v>
      </c>
    </row>
    <row r="36" spans="1:25" ht="16.5" customHeight="1" x14ac:dyDescent="0.3">
      <c r="A36" s="109" t="s">
        <v>366</v>
      </c>
      <c r="B36" s="105"/>
      <c r="C36" s="74" t="s">
        <v>400</v>
      </c>
      <c r="D36" s="26"/>
      <c r="E36" s="70">
        <v>8</v>
      </c>
      <c r="F36" s="32">
        <f t="shared" si="0"/>
        <v>8</v>
      </c>
      <c r="G36" s="29"/>
      <c r="J36" s="155" t="s">
        <v>51</v>
      </c>
      <c r="K36" s="155" t="s">
        <v>52</v>
      </c>
      <c r="L36" s="155" t="s">
        <v>442</v>
      </c>
      <c r="M36" s="155" t="s">
        <v>53</v>
      </c>
      <c r="R36" s="158">
        <v>128</v>
      </c>
      <c r="S36" s="159" t="s">
        <v>439</v>
      </c>
      <c r="T36" s="159"/>
    </row>
    <row r="37" spans="1:25" ht="16.5" customHeight="1" x14ac:dyDescent="0.3">
      <c r="A37" s="72" t="s">
        <v>475</v>
      </c>
      <c r="B37" s="105"/>
      <c r="C37" s="74"/>
      <c r="D37" s="160"/>
      <c r="E37" s="69">
        <v>0</v>
      </c>
      <c r="F37" s="32">
        <f t="shared" si="0"/>
        <v>0</v>
      </c>
      <c r="G37" s="29"/>
      <c r="I37" s="4" t="s">
        <v>581</v>
      </c>
      <c r="J37" s="156">
        <f>'Fertilizer (Irrigated)'!P5+(U19*L28)+(L29*U24)</f>
        <v>190.76139999999998</v>
      </c>
      <c r="K37" s="156">
        <f>'Fertilizer (Irrigated)'!Q5+(V19*L28)+(L29*V24)</f>
        <v>75.09</v>
      </c>
      <c r="L37" s="156">
        <f>'Fertilizer (Irrigated)'!R5+(W19*L28)+(L29*W24)</f>
        <v>43.199999999999996</v>
      </c>
      <c r="M37" s="156">
        <f>'Fertilizer (Irrigated)'!S5+(X19*L28)+(L29*X24)</f>
        <v>10.799999999999999</v>
      </c>
      <c r="N37" s="161"/>
      <c r="R37" s="10">
        <v>4</v>
      </c>
      <c r="S37" s="10" t="s">
        <v>440</v>
      </c>
      <c r="U37" s="270" t="s">
        <v>535</v>
      </c>
      <c r="V37" s="270"/>
      <c r="W37" s="270"/>
      <c r="X37" s="270"/>
      <c r="Y37" s="270"/>
    </row>
    <row r="38" spans="1:25" ht="16.5" customHeight="1" x14ac:dyDescent="0.3">
      <c r="A38" s="72" t="s">
        <v>475</v>
      </c>
      <c r="B38" s="105"/>
      <c r="C38" s="74"/>
      <c r="D38" s="160"/>
      <c r="E38" s="69">
        <v>0</v>
      </c>
      <c r="F38" s="32">
        <f t="shared" si="0"/>
        <v>0</v>
      </c>
      <c r="G38" s="29"/>
      <c r="I38" s="234" t="s">
        <v>588</v>
      </c>
      <c r="J38" s="157"/>
      <c r="K38" s="147"/>
      <c r="L38" s="147"/>
      <c r="M38" s="147"/>
      <c r="U38" s="270"/>
      <c r="V38" s="270"/>
      <c r="W38" s="270"/>
      <c r="X38" s="270"/>
      <c r="Y38" s="270"/>
    </row>
    <row r="39" spans="1:25" ht="16.5" customHeight="1" x14ac:dyDescent="0.3">
      <c r="A39" s="72" t="s">
        <v>475</v>
      </c>
      <c r="B39" s="105"/>
      <c r="C39" s="74"/>
      <c r="D39" s="160"/>
      <c r="E39" s="69">
        <v>0</v>
      </c>
      <c r="F39" s="32">
        <f t="shared" si="0"/>
        <v>0</v>
      </c>
      <c r="G39" s="29"/>
      <c r="I39" s="234"/>
      <c r="J39" s="157"/>
      <c r="K39" s="147"/>
      <c r="L39" s="147"/>
      <c r="M39" s="147"/>
      <c r="U39" s="270"/>
      <c r="V39" s="270"/>
      <c r="W39" s="270"/>
      <c r="X39" s="270"/>
      <c r="Y39" s="270"/>
    </row>
    <row r="40" spans="1:25" ht="16.5" customHeight="1" thickBot="1" x14ac:dyDescent="0.35">
      <c r="A40" s="163" t="s">
        <v>251</v>
      </c>
      <c r="B40" s="164"/>
      <c r="C40" s="18"/>
      <c r="D40" s="22"/>
      <c r="E40" s="23">
        <f>SUM(E19:E39)</f>
        <v>703.39790749999997</v>
      </c>
      <c r="F40" s="165"/>
      <c r="G40" s="29"/>
      <c r="I40" s="265" t="s">
        <v>433</v>
      </c>
      <c r="J40" s="266"/>
      <c r="K40" s="266"/>
      <c r="L40" s="266"/>
      <c r="M40" s="267"/>
      <c r="U40" s="270"/>
      <c r="V40" s="270"/>
      <c r="W40" s="270"/>
      <c r="X40" s="270"/>
      <c r="Y40" s="270"/>
    </row>
    <row r="41" spans="1:25" ht="16.5" customHeight="1" thickTop="1" x14ac:dyDescent="0.3">
      <c r="A41" s="166" t="s">
        <v>370</v>
      </c>
      <c r="B41" s="167"/>
      <c r="C41" s="168"/>
      <c r="D41" s="169"/>
      <c r="E41" s="170">
        <f>E15-E40</f>
        <v>231.85209249999991</v>
      </c>
      <c r="F41" s="171"/>
      <c r="G41" s="29"/>
      <c r="U41" s="270"/>
      <c r="V41" s="270"/>
      <c r="W41" s="270"/>
      <c r="X41" s="270"/>
      <c r="Y41" s="270"/>
    </row>
    <row r="42" spans="1:25" ht="16.5" customHeight="1" x14ac:dyDescent="0.3">
      <c r="A42" s="172"/>
      <c r="B42" s="138"/>
      <c r="C42" s="173"/>
      <c r="D42" s="174"/>
      <c r="E42" s="175"/>
      <c r="F42" s="135"/>
      <c r="G42" s="29"/>
      <c r="I42" s="271" t="s">
        <v>497</v>
      </c>
      <c r="J42" s="271"/>
      <c r="K42" s="271"/>
      <c r="L42" s="271"/>
      <c r="M42" s="271"/>
      <c r="U42" s="270"/>
      <c r="V42" s="270"/>
      <c r="W42" s="270"/>
      <c r="X42" s="270"/>
      <c r="Y42" s="270"/>
    </row>
    <row r="43" spans="1:25" ht="16.5" customHeight="1" x14ac:dyDescent="0.3">
      <c r="A43" s="176" t="s">
        <v>373</v>
      </c>
      <c r="B43" s="138"/>
      <c r="C43" s="173"/>
      <c r="D43" s="174"/>
      <c r="E43" s="143" t="s">
        <v>35</v>
      </c>
      <c r="F43" s="144"/>
      <c r="G43" s="29"/>
      <c r="I43" s="132" t="s">
        <v>424</v>
      </c>
      <c r="J43" s="132" t="s">
        <v>436</v>
      </c>
      <c r="K43" s="162" t="s">
        <v>434</v>
      </c>
      <c r="L43" s="132" t="s">
        <v>432</v>
      </c>
      <c r="M43" s="93" t="s">
        <v>404</v>
      </c>
    </row>
    <row r="44" spans="1:25" ht="16.5" customHeight="1" x14ac:dyDescent="0.3">
      <c r="A44" s="177" t="s">
        <v>256</v>
      </c>
      <c r="B44" s="105"/>
      <c r="C44" s="227" t="s">
        <v>598</v>
      </c>
      <c r="D44" s="160"/>
      <c r="E44" s="70">
        <v>13.5</v>
      </c>
      <c r="F44" s="32">
        <f t="shared" ref="F44:F50" si="1">E44</f>
        <v>13.5</v>
      </c>
      <c r="G44" s="29"/>
      <c r="I44" s="100" t="s">
        <v>60</v>
      </c>
      <c r="J44" s="100" t="s">
        <v>60</v>
      </c>
      <c r="K44" s="100" t="s">
        <v>60</v>
      </c>
      <c r="L44" s="100" t="s">
        <v>60</v>
      </c>
      <c r="M44" s="93"/>
      <c r="U44" s="263" t="s">
        <v>628</v>
      </c>
      <c r="V44" s="263"/>
      <c r="W44" s="263"/>
      <c r="X44" s="263"/>
      <c r="Y44" s="263"/>
    </row>
    <row r="45" spans="1:25" ht="16.5" customHeight="1" x14ac:dyDescent="0.3">
      <c r="A45" s="109" t="s">
        <v>169</v>
      </c>
      <c r="B45" s="105"/>
      <c r="C45" s="227" t="s">
        <v>599</v>
      </c>
      <c r="D45" s="160"/>
      <c r="E45" s="70">
        <v>260</v>
      </c>
      <c r="F45" s="32">
        <f t="shared" si="1"/>
        <v>260</v>
      </c>
      <c r="G45" s="29"/>
      <c r="I45" s="36" t="s">
        <v>596</v>
      </c>
      <c r="J45" s="35">
        <v>200</v>
      </c>
      <c r="K45" s="55" t="s">
        <v>439</v>
      </c>
      <c r="L45" s="36">
        <v>20</v>
      </c>
      <c r="M45" s="39">
        <f>IFERROR(J45/(_xlfn.XLOOKUP(K45,$S$33:$S$37,$R$33:$R$37))*L45,0)</f>
        <v>31.25</v>
      </c>
      <c r="U45" s="263"/>
      <c r="V45" s="263"/>
      <c r="W45" s="263"/>
      <c r="X45" s="263"/>
      <c r="Y45" s="263"/>
    </row>
    <row r="46" spans="1:25" ht="16.5" customHeight="1" x14ac:dyDescent="0.3">
      <c r="A46" s="109" t="s">
        <v>471</v>
      </c>
      <c r="B46" s="105"/>
      <c r="C46" s="227" t="s">
        <v>600</v>
      </c>
      <c r="D46" s="160"/>
      <c r="E46" s="70">
        <v>10</v>
      </c>
      <c r="F46" s="32">
        <f t="shared" si="1"/>
        <v>10</v>
      </c>
      <c r="G46" s="29"/>
      <c r="I46" s="36" t="s">
        <v>597</v>
      </c>
      <c r="J46" s="35">
        <v>49</v>
      </c>
      <c r="K46" s="55" t="s">
        <v>440</v>
      </c>
      <c r="L46" s="36">
        <v>1</v>
      </c>
      <c r="M46" s="39">
        <f t="shared" ref="M46" si="2">IFERROR(J46/(_xlfn.XLOOKUP(K46,$S$33:$S$37,$R$33:$R$37))*L46,0)</f>
        <v>12.25</v>
      </c>
      <c r="U46" s="263"/>
      <c r="V46" s="263"/>
      <c r="W46" s="263"/>
      <c r="X46" s="263"/>
      <c r="Y46" s="263"/>
    </row>
    <row r="47" spans="1:25" ht="16.5" customHeight="1" x14ac:dyDescent="0.3">
      <c r="A47" s="109" t="s">
        <v>470</v>
      </c>
      <c r="B47" s="105"/>
      <c r="C47" s="227" t="s">
        <v>601</v>
      </c>
      <c r="D47" s="160"/>
      <c r="E47" s="70">
        <v>67</v>
      </c>
      <c r="F47" s="32">
        <f t="shared" si="1"/>
        <v>67</v>
      </c>
      <c r="G47" s="29"/>
      <c r="I47" s="36" t="s">
        <v>587</v>
      </c>
      <c r="J47" s="35">
        <v>31.98</v>
      </c>
      <c r="K47" s="55" t="s">
        <v>439</v>
      </c>
      <c r="L47" s="36">
        <v>20</v>
      </c>
      <c r="M47" s="39">
        <f>IFERROR(J47/(_xlfn.XLOOKUP(K47,$S$33:$S$37,$R$33:$R$37))*L47,0)</f>
        <v>4.9968750000000002</v>
      </c>
    </row>
    <row r="48" spans="1:25" ht="16.5" customHeight="1" x14ac:dyDescent="0.3">
      <c r="A48" s="109" t="s">
        <v>366</v>
      </c>
      <c r="B48" s="105"/>
      <c r="C48" s="227" t="s">
        <v>400</v>
      </c>
      <c r="D48" s="160"/>
      <c r="E48" s="69">
        <v>6</v>
      </c>
      <c r="F48" s="32">
        <f t="shared" si="1"/>
        <v>6</v>
      </c>
      <c r="G48" s="29"/>
      <c r="I48" s="36" t="s">
        <v>366</v>
      </c>
      <c r="J48" s="35">
        <v>0</v>
      </c>
      <c r="K48" s="55" t="s">
        <v>441</v>
      </c>
      <c r="L48" s="36">
        <v>0</v>
      </c>
      <c r="M48" s="39">
        <f>IFERROR(J48/(_xlfn.XLOOKUP(K48,$S$33:$S$37,$R$33:$R$37))*L48,0)</f>
        <v>0</v>
      </c>
    </row>
    <row r="49" spans="1:15" ht="16.5" customHeight="1" x14ac:dyDescent="0.3">
      <c r="A49" s="72" t="s">
        <v>475</v>
      </c>
      <c r="B49" s="105"/>
      <c r="C49" s="74"/>
      <c r="D49" s="160"/>
      <c r="E49" s="69">
        <v>0</v>
      </c>
      <c r="F49" s="32">
        <f t="shared" si="1"/>
        <v>0</v>
      </c>
      <c r="G49" s="29"/>
      <c r="I49" s="36" t="s">
        <v>366</v>
      </c>
      <c r="J49" s="35">
        <v>0</v>
      </c>
      <c r="K49" s="55" t="s">
        <v>441</v>
      </c>
      <c r="L49" s="36">
        <v>0</v>
      </c>
      <c r="M49" s="39">
        <f>IFERROR(J49/(_xlfn.XLOOKUP(K49,$S$33:$S$37,$R$33:$R$37))*L49,0)</f>
        <v>0</v>
      </c>
    </row>
    <row r="50" spans="1:15" ht="16.5" customHeight="1" x14ac:dyDescent="0.3">
      <c r="A50" s="73" t="s">
        <v>475</v>
      </c>
      <c r="B50" s="105"/>
      <c r="C50" s="74"/>
      <c r="D50" s="160"/>
      <c r="E50" s="69">
        <v>0</v>
      </c>
      <c r="F50" s="32">
        <f t="shared" si="1"/>
        <v>0</v>
      </c>
      <c r="G50" s="29"/>
    </row>
    <row r="51" spans="1:15" ht="16.5" customHeight="1" x14ac:dyDescent="0.3">
      <c r="A51" s="178" t="s">
        <v>375</v>
      </c>
      <c r="B51" s="179"/>
      <c r="C51" s="19"/>
      <c r="D51" s="26"/>
      <c r="E51" s="62">
        <f>SUM(E44:E50)</f>
        <v>356.5</v>
      </c>
      <c r="F51" s="32">
        <f>E50</f>
        <v>0</v>
      </c>
      <c r="G51" s="29"/>
      <c r="I51" s="10" t="s">
        <v>32</v>
      </c>
      <c r="J51" s="35">
        <v>0</v>
      </c>
      <c r="K51" s="55" t="s">
        <v>441</v>
      </c>
      <c r="L51" s="36">
        <v>0</v>
      </c>
      <c r="M51" s="39">
        <f>IFERROR(J51/(_xlfn.XLOOKUP(K51,$S$33:$S$37,$R$33:$R$37))*L51,0)</f>
        <v>0</v>
      </c>
    </row>
    <row r="52" spans="1:15" ht="16.5" customHeight="1" thickBot="1" x14ac:dyDescent="0.35">
      <c r="A52" s="180" t="s">
        <v>376</v>
      </c>
      <c r="B52" s="164"/>
      <c r="C52" s="20"/>
      <c r="D52" s="22"/>
      <c r="E52" s="25">
        <f>E40+E51</f>
        <v>1059.8979075</v>
      </c>
      <c r="F52" s="165"/>
      <c r="G52" s="17"/>
      <c r="I52" s="10" t="s">
        <v>67</v>
      </c>
      <c r="J52" s="35">
        <v>0</v>
      </c>
      <c r="K52" s="55" t="s">
        <v>441</v>
      </c>
      <c r="L52" s="36">
        <v>0</v>
      </c>
      <c r="M52" s="39">
        <f t="shared" ref="M52:M55" si="3">IFERROR(J52/(_xlfn.XLOOKUP(K52,$S$33:$S$37,$R$33:$R$37))*L52,0)</f>
        <v>0</v>
      </c>
    </row>
    <row r="53" spans="1:15" ht="16.5" customHeight="1" thickTop="1" x14ac:dyDescent="0.3">
      <c r="A53" s="181" t="s">
        <v>388</v>
      </c>
      <c r="B53" s="167"/>
      <c r="C53" s="182"/>
      <c r="D53" s="128"/>
      <c r="E53" s="183">
        <f>E15-E52</f>
        <v>-124.64790750000009</v>
      </c>
      <c r="F53" s="171"/>
      <c r="G53" s="17"/>
      <c r="I53" s="10" t="s">
        <v>70</v>
      </c>
      <c r="J53" s="35">
        <v>0</v>
      </c>
      <c r="K53" s="55" t="s">
        <v>441</v>
      </c>
      <c r="L53" s="36">
        <v>0</v>
      </c>
      <c r="M53" s="39">
        <f t="shared" si="3"/>
        <v>0</v>
      </c>
      <c r="N53" s="161"/>
    </row>
    <row r="54" spans="1:15" ht="16.5" customHeight="1" x14ac:dyDescent="0.3">
      <c r="A54" s="184"/>
      <c r="B54" s="138"/>
      <c r="C54" s="185"/>
      <c r="D54" s="185"/>
      <c r="E54" s="186"/>
      <c r="F54" s="187"/>
      <c r="G54" s="188"/>
      <c r="I54" s="10" t="s">
        <v>71</v>
      </c>
      <c r="J54" s="35">
        <v>0</v>
      </c>
      <c r="K54" s="55" t="s">
        <v>441</v>
      </c>
      <c r="L54" s="36">
        <v>0</v>
      </c>
      <c r="M54" s="39">
        <f t="shared" si="3"/>
        <v>0</v>
      </c>
    </row>
    <row r="55" spans="1:15" ht="16.5" customHeight="1" x14ac:dyDescent="0.3">
      <c r="A55" s="189" t="s">
        <v>363</v>
      </c>
      <c r="B55" s="190"/>
      <c r="C55" s="190"/>
      <c r="D55" s="190"/>
      <c r="E55" s="190"/>
      <c r="F55" s="191"/>
      <c r="G55" s="192"/>
      <c r="I55" s="10" t="s">
        <v>69</v>
      </c>
      <c r="J55" s="35">
        <v>0</v>
      </c>
      <c r="K55" s="55" t="s">
        <v>441</v>
      </c>
      <c r="L55" s="36">
        <v>0</v>
      </c>
      <c r="M55" s="39">
        <f t="shared" si="3"/>
        <v>0</v>
      </c>
    </row>
    <row r="56" spans="1:15" ht="16.5" customHeight="1" x14ac:dyDescent="0.3">
      <c r="A56" s="193"/>
      <c r="B56" s="194"/>
      <c r="C56" s="195"/>
      <c r="D56" s="195"/>
      <c r="E56" s="195"/>
      <c r="F56" s="196"/>
      <c r="G56" s="197"/>
      <c r="I56" s="10" t="s">
        <v>499</v>
      </c>
      <c r="J56" s="35">
        <v>0</v>
      </c>
      <c r="K56" s="55" t="s">
        <v>441</v>
      </c>
      <c r="L56" s="36">
        <v>0</v>
      </c>
      <c r="M56" s="39">
        <f>IFERROR(J56/(_xlfn.XLOOKUP(K56,$S$33:$S$37,$R$33:$R$37))*L56,0)</f>
        <v>0</v>
      </c>
    </row>
    <row r="57" spans="1:15" ht="16.5" customHeight="1" x14ac:dyDescent="0.3">
      <c r="A57" s="176" t="s">
        <v>389</v>
      </c>
      <c r="B57" s="198"/>
      <c r="C57" s="195"/>
      <c r="D57" s="195"/>
      <c r="E57" s="195"/>
      <c r="F57" s="199"/>
      <c r="G57" s="17"/>
      <c r="I57" s="65" t="s">
        <v>500</v>
      </c>
      <c r="J57" s="35">
        <v>0</v>
      </c>
      <c r="K57" s="55" t="s">
        <v>441</v>
      </c>
      <c r="L57" s="36">
        <v>0</v>
      </c>
      <c r="M57" s="39">
        <f t="shared" ref="M57" si="4">IFERROR(J57/(_xlfn.XLOOKUP(K57,$S$33:$S$37,$R$33:$R$37))*L57,0)</f>
        <v>0</v>
      </c>
    </row>
    <row r="58" spans="1:15" ht="16.5" customHeight="1" x14ac:dyDescent="0.3">
      <c r="A58" s="200" t="s">
        <v>394</v>
      </c>
      <c r="B58" s="201"/>
      <c r="C58" s="202"/>
      <c r="D58" s="202"/>
      <c r="E58" s="138">
        <f>E52/E9</f>
        <v>4.9297577093023257</v>
      </c>
      <c r="F58" s="203" t="s">
        <v>395</v>
      </c>
      <c r="G58" s="17"/>
    </row>
    <row r="59" spans="1:15" ht="16.5" customHeight="1" thickBot="1" x14ac:dyDescent="0.35">
      <c r="A59" s="204" t="s">
        <v>362</v>
      </c>
      <c r="B59" s="205"/>
      <c r="C59" s="206"/>
      <c r="D59" s="206"/>
      <c r="E59" s="207">
        <f>E52/E8</f>
        <v>243.65469137931035</v>
      </c>
      <c r="F59" s="208" t="s">
        <v>443</v>
      </c>
      <c r="G59" s="17"/>
      <c r="I59" s="271" t="s">
        <v>498</v>
      </c>
      <c r="J59" s="271"/>
      <c r="K59" s="271"/>
      <c r="L59" s="271"/>
      <c r="M59" s="271"/>
    </row>
    <row r="60" spans="1:15" ht="16.5" customHeight="1" x14ac:dyDescent="0.3">
      <c r="A60" s="89"/>
      <c r="B60" s="89"/>
      <c r="C60" s="89"/>
      <c r="D60" s="89"/>
      <c r="E60" s="89"/>
      <c r="F60" s="89"/>
      <c r="G60" s="17"/>
      <c r="I60" s="132" t="s">
        <v>424</v>
      </c>
      <c r="J60" s="132" t="s">
        <v>436</v>
      </c>
      <c r="K60" s="162" t="s">
        <v>434</v>
      </c>
      <c r="L60" s="132" t="s">
        <v>432</v>
      </c>
      <c r="M60" s="93" t="s">
        <v>404</v>
      </c>
    </row>
    <row r="61" spans="1:15" ht="16.5" customHeight="1" x14ac:dyDescent="0.3">
      <c r="A61" s="151" t="s">
        <v>446</v>
      </c>
      <c r="G61" s="17"/>
      <c r="I61" s="100" t="s">
        <v>60</v>
      </c>
      <c r="J61" s="100" t="s">
        <v>60</v>
      </c>
      <c r="K61" s="100" t="s">
        <v>60</v>
      </c>
      <c r="L61" s="100" t="s">
        <v>60</v>
      </c>
      <c r="M61" s="93"/>
    </row>
    <row r="62" spans="1:15" ht="16.5" customHeight="1" x14ac:dyDescent="0.3">
      <c r="A62" s="151" t="s">
        <v>447</v>
      </c>
      <c r="G62" s="17"/>
      <c r="I62" s="36" t="s">
        <v>582</v>
      </c>
      <c r="J62" s="35">
        <v>312</v>
      </c>
      <c r="K62" s="55" t="s">
        <v>439</v>
      </c>
      <c r="L62" s="36">
        <v>7</v>
      </c>
      <c r="M62" s="39">
        <f>IFERROR(J62/(_xlfn.XLOOKUP(K62,$S$33:$S$37,$R$33:$R$37))*L62,0)</f>
        <v>17.0625</v>
      </c>
    </row>
    <row r="63" spans="1:15" ht="16.5" customHeight="1" x14ac:dyDescent="0.3">
      <c r="A63" s="209"/>
      <c r="B63" s="151"/>
      <c r="C63" s="151"/>
      <c r="D63" s="151"/>
      <c r="E63" s="151"/>
      <c r="F63" s="151"/>
      <c r="G63" s="21"/>
      <c r="I63" s="36" t="s">
        <v>366</v>
      </c>
      <c r="J63" s="35">
        <v>0</v>
      </c>
      <c r="K63" s="55" t="s">
        <v>441</v>
      </c>
      <c r="L63" s="36">
        <v>0</v>
      </c>
      <c r="M63" s="39">
        <f>IFERROR(J63/(_xlfn.XLOOKUP(K63,$S$33:$S$37,$R$33:$R$37))*L63,0)</f>
        <v>0</v>
      </c>
    </row>
    <row r="64" spans="1:15" ht="16.5" customHeight="1" x14ac:dyDescent="0.3">
      <c r="A64" s="209"/>
      <c r="B64" s="151"/>
      <c r="C64" s="151"/>
      <c r="D64" s="151"/>
      <c r="E64" s="151"/>
      <c r="F64" s="151"/>
      <c r="G64" s="21"/>
      <c r="I64" s="36" t="s">
        <v>366</v>
      </c>
      <c r="J64" s="35">
        <v>0</v>
      </c>
      <c r="K64" s="55" t="s">
        <v>441</v>
      </c>
      <c r="L64" s="36">
        <v>0</v>
      </c>
      <c r="M64" s="39">
        <f t="shared" ref="M64" si="5">IFERROR(J64/(_xlfn.XLOOKUP(K64,$S$33:$S$37,$R$33:$R$37))*L64,0)</f>
        <v>0</v>
      </c>
      <c r="O64" s="2"/>
    </row>
    <row r="65" spans="1:15" ht="16.5" customHeight="1" x14ac:dyDescent="0.3">
      <c r="G65" s="21"/>
      <c r="L65" s="7"/>
      <c r="O65" s="2"/>
    </row>
    <row r="66" spans="1:15" ht="16.5" customHeight="1" x14ac:dyDescent="0.3">
      <c r="A66" s="211"/>
      <c r="B66" s="146"/>
      <c r="C66" s="146"/>
      <c r="D66" s="146"/>
      <c r="E66" s="146"/>
      <c r="G66" s="21"/>
      <c r="I66" s="10" t="s">
        <v>32</v>
      </c>
      <c r="J66" s="35">
        <v>0</v>
      </c>
      <c r="K66" s="55" t="s">
        <v>441</v>
      </c>
      <c r="L66" s="36">
        <v>0</v>
      </c>
      <c r="M66" s="39">
        <f>IFERROR(J66/(_xlfn.XLOOKUP(K66,$S$33:$S$37,$R$33:$R$37))*L66,0)</f>
        <v>0</v>
      </c>
      <c r="O66" s="2"/>
    </row>
    <row r="67" spans="1:15" ht="16.5" customHeight="1" x14ac:dyDescent="0.3">
      <c r="F67" s="146"/>
      <c r="G67" s="21"/>
      <c r="I67" s="10" t="s">
        <v>67</v>
      </c>
      <c r="J67" s="35">
        <v>0</v>
      </c>
      <c r="K67" s="55" t="s">
        <v>441</v>
      </c>
      <c r="L67" s="36">
        <v>0</v>
      </c>
      <c r="M67" s="39">
        <f t="shared" ref="M67:M70" si="6">IFERROR(J67/(_xlfn.XLOOKUP(K67,$S$33:$S$37,$R$33:$R$37))*L67,0)</f>
        <v>0</v>
      </c>
      <c r="O67" s="2"/>
    </row>
    <row r="68" spans="1:15" ht="16.5" customHeight="1" x14ac:dyDescent="0.3">
      <c r="G68" s="21"/>
      <c r="I68" s="10" t="s">
        <v>70</v>
      </c>
      <c r="J68" s="35">
        <v>0</v>
      </c>
      <c r="K68" s="55" t="s">
        <v>441</v>
      </c>
      <c r="L68" s="36">
        <v>0</v>
      </c>
      <c r="M68" s="39">
        <f t="shared" si="6"/>
        <v>0</v>
      </c>
      <c r="O68" s="2"/>
    </row>
    <row r="69" spans="1:15" ht="16.5" customHeight="1" x14ac:dyDescent="0.3">
      <c r="G69" s="21"/>
      <c r="I69" s="10" t="s">
        <v>71</v>
      </c>
      <c r="J69" s="35">
        <v>0</v>
      </c>
      <c r="K69" s="55" t="s">
        <v>441</v>
      </c>
      <c r="L69" s="36">
        <v>0</v>
      </c>
      <c r="M69" s="39">
        <f t="shared" si="6"/>
        <v>0</v>
      </c>
      <c r="O69" s="2"/>
    </row>
    <row r="70" spans="1:15" ht="16.5" customHeight="1" x14ac:dyDescent="0.3">
      <c r="G70" s="21"/>
      <c r="I70" s="10" t="s">
        <v>69</v>
      </c>
      <c r="J70" s="35">
        <v>0</v>
      </c>
      <c r="K70" s="55" t="s">
        <v>441</v>
      </c>
      <c r="L70" s="36">
        <v>0</v>
      </c>
      <c r="M70" s="39">
        <f t="shared" si="6"/>
        <v>0</v>
      </c>
      <c r="O70" s="2"/>
    </row>
    <row r="71" spans="1:15" ht="16.5" customHeight="1" x14ac:dyDescent="0.3">
      <c r="G71" s="21"/>
      <c r="I71" s="10" t="s">
        <v>499</v>
      </c>
      <c r="J71" s="35">
        <v>21</v>
      </c>
      <c r="K71" s="55" t="s">
        <v>440</v>
      </c>
      <c r="L71" s="36">
        <v>0.2</v>
      </c>
      <c r="M71" s="39">
        <f>IFERROR(J71/(_xlfn.XLOOKUP(K71,$S$33:$S$37,$R$33:$R$37))*L71,0)</f>
        <v>1.05</v>
      </c>
    </row>
    <row r="72" spans="1:15" ht="16.5" customHeight="1" x14ac:dyDescent="0.3">
      <c r="G72" s="21"/>
      <c r="I72" s="65" t="s">
        <v>500</v>
      </c>
      <c r="J72" s="35">
        <v>0</v>
      </c>
      <c r="K72" s="55" t="s">
        <v>441</v>
      </c>
      <c r="L72" s="36">
        <v>0</v>
      </c>
      <c r="M72" s="39">
        <f t="shared" ref="M72" si="7">IFERROR(J72/(_xlfn.XLOOKUP(K72,$S$33:$S$37,$R$33:$R$37))*L72,0)</f>
        <v>0</v>
      </c>
    </row>
    <row r="73" spans="1:15" ht="16.5" customHeight="1" x14ac:dyDescent="0.3">
      <c r="G73" s="21"/>
    </row>
    <row r="74" spans="1:15" ht="16.5" customHeight="1" x14ac:dyDescent="0.3">
      <c r="G74" s="21"/>
      <c r="I74" s="132" t="s">
        <v>625</v>
      </c>
      <c r="J74" s="132" t="s">
        <v>627</v>
      </c>
      <c r="K74" s="162"/>
      <c r="L74" s="132" t="s">
        <v>626</v>
      </c>
      <c r="M74" s="93" t="s">
        <v>404</v>
      </c>
    </row>
    <row r="75" spans="1:15" ht="16.5" customHeight="1" x14ac:dyDescent="0.3">
      <c r="G75" s="21"/>
      <c r="I75" s="117" t="s">
        <v>629</v>
      </c>
      <c r="J75" s="35">
        <v>6.65</v>
      </c>
      <c r="K75" s="37"/>
      <c r="L75" s="36">
        <v>1</v>
      </c>
      <c r="M75" s="39">
        <f>J75*L75</f>
        <v>6.65</v>
      </c>
    </row>
    <row r="76" spans="1:15" ht="16.5" customHeight="1" x14ac:dyDescent="0.3">
      <c r="G76" s="21"/>
      <c r="I76" s="117" t="s">
        <v>168</v>
      </c>
      <c r="J76" s="35">
        <v>10</v>
      </c>
      <c r="K76" s="37"/>
      <c r="L76" s="36">
        <v>0</v>
      </c>
      <c r="M76" s="39">
        <f>J76*L76</f>
        <v>0</v>
      </c>
      <c r="N76" s="44"/>
    </row>
    <row r="77" spans="1:15" ht="16.5" customHeight="1" x14ac:dyDescent="0.3">
      <c r="G77" s="21"/>
      <c r="N77" s="37"/>
    </row>
    <row r="78" spans="1:15" ht="16.5" customHeight="1" x14ac:dyDescent="0.3">
      <c r="G78" s="21"/>
      <c r="L78" s="152" t="s">
        <v>431</v>
      </c>
      <c r="M78" s="153">
        <f>SUM(M45:M76)</f>
        <v>73.259375000000006</v>
      </c>
    </row>
    <row r="79" spans="1:15" ht="16.5" customHeight="1" x14ac:dyDescent="0.3">
      <c r="G79" s="21"/>
    </row>
    <row r="80" spans="1:15" ht="16.5" customHeight="1" x14ac:dyDescent="0.3">
      <c r="G80" s="21"/>
    </row>
    <row r="81" spans="7:13" ht="16.5" customHeight="1" x14ac:dyDescent="0.3">
      <c r="G81" s="21"/>
    </row>
    <row r="82" spans="7:13" ht="16.5" customHeight="1" x14ac:dyDescent="0.3">
      <c r="G82" s="21"/>
    </row>
    <row r="83" spans="7:13" ht="16.5" customHeight="1" x14ac:dyDescent="0.3">
      <c r="G83" s="21"/>
    </row>
    <row r="84" spans="7:13" ht="16.5" customHeight="1" x14ac:dyDescent="0.3">
      <c r="G84" s="21"/>
      <c r="I84" s="44"/>
      <c r="J84" s="44"/>
      <c r="K84" s="44"/>
      <c r="L84" s="44"/>
      <c r="M84" s="44"/>
    </row>
    <row r="85" spans="7:13" ht="16.5" customHeight="1" x14ac:dyDescent="0.3">
      <c r="G85" s="21"/>
      <c r="I85" s="44"/>
      <c r="J85" s="44"/>
      <c r="K85" s="44"/>
      <c r="L85" s="44"/>
      <c r="M85" s="44"/>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2"/>
    </row>
    <row r="110" spans="7:7" ht="16.5" hidden="1" customHeight="1" x14ac:dyDescent="0.3">
      <c r="G110" s="212"/>
    </row>
    <row r="111" spans="7:7" ht="8.1" hidden="1" customHeight="1" x14ac:dyDescent="0.3">
      <c r="G111" s="212"/>
    </row>
    <row r="112" spans="7:7" ht="16.5" hidden="1" customHeight="1" x14ac:dyDescent="0.3">
      <c r="G112" s="212"/>
    </row>
    <row r="113" spans="1:7" ht="16.5" hidden="1" customHeight="1" x14ac:dyDescent="0.3">
      <c r="G113" s="212"/>
    </row>
    <row r="114" spans="1:7" ht="16.5" hidden="1" customHeight="1" x14ac:dyDescent="0.3">
      <c r="G114" s="212"/>
    </row>
    <row r="115" spans="1:7" ht="6.75" hidden="1" customHeight="1" x14ac:dyDescent="0.3">
      <c r="G115" s="213"/>
    </row>
    <row r="116" spans="1:7" ht="16.5" hidden="1" customHeight="1" x14ac:dyDescent="0.3">
      <c r="G116" s="213"/>
    </row>
    <row r="117" spans="1:7" ht="16.5" hidden="1" customHeight="1" x14ac:dyDescent="0.3">
      <c r="G117" s="213"/>
    </row>
    <row r="118" spans="1:7" ht="16.5" hidden="1" customHeight="1" x14ac:dyDescent="0.35">
      <c r="A118" s="214"/>
      <c r="B118" s="215"/>
      <c r="C118" s="215"/>
      <c r="D118" s="215"/>
      <c r="E118" s="215"/>
      <c r="G118" s="213"/>
    </row>
    <row r="119" spans="1:7" ht="16.5" hidden="1" customHeight="1" x14ac:dyDescent="0.35">
      <c r="F119" s="215"/>
      <c r="G119" s="201"/>
    </row>
    <row r="120" spans="1:7" ht="16.5" hidden="1" customHeight="1" x14ac:dyDescent="0.3">
      <c r="G120" s="216"/>
    </row>
    <row r="121" spans="1:7" ht="16.5" hidden="1" customHeight="1" x14ac:dyDescent="0.3">
      <c r="G121" s="201"/>
    </row>
    <row r="122" spans="1:7" ht="16.5" hidden="1" customHeight="1" x14ac:dyDescent="0.3">
      <c r="G122" s="217"/>
    </row>
    <row r="123" spans="1:7" ht="16.5" hidden="1" customHeight="1" x14ac:dyDescent="0.3">
      <c r="G123" s="218"/>
    </row>
    <row r="124" spans="1:7" ht="16.5" hidden="1" customHeight="1" x14ac:dyDescent="0.3">
      <c r="G124" s="219"/>
    </row>
    <row r="125" spans="1:7" ht="16.5" hidden="1" customHeight="1" x14ac:dyDescent="0.3">
      <c r="G125" s="218"/>
    </row>
    <row r="126" spans="1:7" ht="16.5" hidden="1" customHeight="1" x14ac:dyDescent="0.3">
      <c r="G126" s="219"/>
    </row>
    <row r="127" spans="1:7" ht="16.5" hidden="1" customHeight="1" x14ac:dyDescent="0.3">
      <c r="G127" s="220"/>
    </row>
    <row r="128" spans="1:7" ht="16.5" hidden="1" customHeight="1" x14ac:dyDescent="0.3">
      <c r="G128" s="213"/>
    </row>
    <row r="129" spans="7:7" ht="18.75" hidden="1" customHeight="1" x14ac:dyDescent="0.3">
      <c r="G129" s="66"/>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6"/>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sheetData>
  <sheetProtection sheet="1" objects="1" scenarios="1"/>
  <mergeCells count="16">
    <mergeCell ref="I10:M10"/>
    <mergeCell ref="U10:Y13"/>
    <mergeCell ref="A1:F3"/>
    <mergeCell ref="T2:Y2"/>
    <mergeCell ref="I4:M4"/>
    <mergeCell ref="E5:F5"/>
    <mergeCell ref="E6:F6"/>
    <mergeCell ref="I59:M59"/>
    <mergeCell ref="A14:A15"/>
    <mergeCell ref="B14:B15"/>
    <mergeCell ref="U15:Y15"/>
    <mergeCell ref="U26:Y27"/>
    <mergeCell ref="I40:M40"/>
    <mergeCell ref="U37:Y42"/>
    <mergeCell ref="I42:M42"/>
    <mergeCell ref="U44:Y46"/>
  </mergeCells>
  <conditionalFormatting sqref="E53">
    <cfRule type="expression" dxfId="2" priority="1">
      <formula>$E$53&lt;0</formula>
    </cfRule>
  </conditionalFormatting>
  <conditionalFormatting sqref="F19:F39">
    <cfRule type="dataBar" priority="3">
      <dataBar showValue="0">
        <cfvo type="min"/>
        <cfvo type="max"/>
        <color rgb="FF63C384"/>
      </dataBar>
      <extLst>
        <ext xmlns:x14="http://schemas.microsoft.com/office/spreadsheetml/2009/9/main" uri="{B025F937-C7B1-47D3-B67F-A62EFF666E3E}">
          <x14:id>{6AFF7778-ABCD-4CD9-8A7F-24F520CF49FA}</x14:id>
        </ext>
      </extLst>
    </cfRule>
  </conditionalFormatting>
  <conditionalFormatting sqref="F44:F51">
    <cfRule type="dataBar" priority="2">
      <dataBar showValue="0">
        <cfvo type="min"/>
        <cfvo type="max"/>
        <color rgb="FF63C384"/>
      </dataBar>
      <extLst>
        <ext xmlns:x14="http://schemas.microsoft.com/office/spreadsheetml/2009/9/main" uri="{B025F937-C7B1-47D3-B67F-A62EFF666E3E}">
          <x14:id>{697759B1-10E3-4B20-990A-63031A32AAE2}</x14:id>
        </ext>
      </extLst>
    </cfRule>
  </conditionalFormatting>
  <dataValidations disablePrompts="1" count="1">
    <dataValidation type="list" allowBlank="1" showInputMessage="1" showErrorMessage="1" sqref="K45:K49 K51:K57 K66:K72 K62:K64" xr:uid="{0B839B1A-6555-490B-A1B5-C0E82E71DE20}">
      <formula1>$S$33:$S$37</formula1>
    </dataValidation>
  </dataValidations>
  <hyperlinks>
    <hyperlink ref="U8" r:id="rId1" xr:uid="{8EE901CA-C3EF-4514-9EE1-32CBFD825773}"/>
    <hyperlink ref="U5" r:id="rId2" xr:uid="{D149492B-09DA-4239-9B57-0E508FF1B26B}"/>
  </hyperlinks>
  <printOptions horizontalCentered="1"/>
  <pageMargins left="0.25" right="0.25" top="0.5" bottom="0.5" header="0.5" footer="0.25"/>
  <pageSetup scale="74" orientation="portrait" r:id="rId3"/>
  <drawing r:id="rId4"/>
  <extLst>
    <ext xmlns:x14="http://schemas.microsoft.com/office/spreadsheetml/2009/9/main" uri="{78C0D931-6437-407d-A8EE-F0AAD7539E65}">
      <x14:conditionalFormattings>
        <x14:conditionalFormatting xmlns:xm="http://schemas.microsoft.com/office/excel/2006/main">
          <x14:cfRule type="dataBar" id="{6AFF7778-ABCD-4CD9-8A7F-24F520CF49FA}">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697759B1-10E3-4B20-990A-63031A32AAE2}">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1D0D-9CAD-455C-A4CA-2C8E2E33EFC6}">
  <sheetPr>
    <tabColor rgb="FFFFC000"/>
    <pageSetUpPr fitToPage="1"/>
  </sheetPr>
  <dimension ref="A1:Y194"/>
  <sheetViews>
    <sheetView zoomScale="80" zoomScaleNormal="80" workbookViewId="0">
      <selection activeCell="E8" sqref="E8"/>
    </sheetView>
  </sheetViews>
  <sheetFormatPr defaultColWidth="9.140625" defaultRowHeight="18.75" x14ac:dyDescent="0.3"/>
  <cols>
    <col min="1" max="1" width="50" style="210" customWidth="1"/>
    <col min="2" max="2" width="2.42578125" style="10" customWidth="1"/>
    <col min="3" max="3" width="14.7109375" style="10" bestFit="1" customWidth="1"/>
    <col min="4" max="4" width="2.85546875" style="10" customWidth="1"/>
    <col min="5" max="5" width="15.42578125" style="10" customWidth="1"/>
    <col min="6" max="6" width="16.7109375" style="10"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2.7109375" style="10" customWidth="1"/>
    <col min="22" max="24" width="9.28515625" style="10" bestFit="1" customWidth="1"/>
    <col min="25" max="25" width="29.28515625" style="10" bestFit="1" customWidth="1"/>
    <col min="26" max="16384" width="9.140625" style="10"/>
  </cols>
  <sheetData>
    <row r="1" spans="1:25" ht="21.75" customHeight="1" x14ac:dyDescent="0.3">
      <c r="A1" s="248" t="s">
        <v>444</v>
      </c>
      <c r="B1" s="249"/>
      <c r="C1" s="249"/>
      <c r="D1" s="249"/>
      <c r="E1" s="249"/>
      <c r="F1" s="250"/>
      <c r="G1" s="86"/>
    </row>
    <row r="2" spans="1:25" ht="15.75" customHeight="1" x14ac:dyDescent="0.3">
      <c r="A2" s="251"/>
      <c r="B2" s="252"/>
      <c r="C2" s="252"/>
      <c r="D2" s="252"/>
      <c r="E2" s="252"/>
      <c r="F2" s="253"/>
      <c r="G2" s="86"/>
      <c r="T2" s="265" t="s">
        <v>545</v>
      </c>
      <c r="U2" s="266"/>
      <c r="V2" s="266"/>
      <c r="W2" s="266"/>
      <c r="X2" s="266"/>
      <c r="Y2" s="267"/>
    </row>
    <row r="3" spans="1:25" ht="15.75" customHeight="1" thickBot="1" x14ac:dyDescent="0.35">
      <c r="A3" s="254"/>
      <c r="B3" s="255"/>
      <c r="C3" s="255"/>
      <c r="D3" s="255"/>
      <c r="E3" s="255"/>
      <c r="F3" s="256"/>
      <c r="G3" s="86"/>
    </row>
    <row r="4" spans="1:25" ht="19.5" thickBot="1" x14ac:dyDescent="0.35">
      <c r="A4" s="87"/>
      <c r="B4" s="88"/>
      <c r="C4" s="89"/>
      <c r="D4" s="89"/>
      <c r="E4" s="89"/>
      <c r="F4" s="90"/>
      <c r="G4" s="86"/>
      <c r="I4" s="265" t="s">
        <v>418</v>
      </c>
      <c r="J4" s="266"/>
      <c r="K4" s="266"/>
      <c r="L4" s="266"/>
      <c r="M4" s="267"/>
      <c r="U4" s="10" t="s">
        <v>493</v>
      </c>
    </row>
    <row r="5" spans="1:25" ht="21.75" thickBot="1" x14ac:dyDescent="0.35">
      <c r="A5" s="91"/>
      <c r="B5" s="92"/>
      <c r="C5" s="92"/>
      <c r="D5" s="92"/>
      <c r="E5" s="261" t="s">
        <v>552</v>
      </c>
      <c r="F5" s="262"/>
      <c r="G5" s="86"/>
      <c r="I5" s="93" t="s">
        <v>549</v>
      </c>
      <c r="J5" s="94" t="s">
        <v>402</v>
      </c>
      <c r="K5" s="94" t="s">
        <v>403</v>
      </c>
      <c r="L5" s="93"/>
      <c r="M5" s="93" t="s">
        <v>404</v>
      </c>
      <c r="U5" s="95" t="s">
        <v>496</v>
      </c>
    </row>
    <row r="6" spans="1:25" ht="19.5" customHeight="1" x14ac:dyDescent="0.3">
      <c r="A6" s="96" t="s">
        <v>59</v>
      </c>
      <c r="B6" s="97"/>
      <c r="D6" s="98"/>
      <c r="E6" s="268" t="s">
        <v>589</v>
      </c>
      <c r="F6" s="269"/>
      <c r="G6" s="86"/>
      <c r="I6" s="100" t="s">
        <v>60</v>
      </c>
      <c r="J6" s="100" t="s">
        <v>60</v>
      </c>
      <c r="K6" s="100" t="s">
        <v>60</v>
      </c>
      <c r="L6" s="100"/>
      <c r="M6" s="2"/>
    </row>
    <row r="7" spans="1:25" ht="16.5" customHeight="1" x14ac:dyDescent="0.3">
      <c r="A7" s="101" t="s">
        <v>290</v>
      </c>
      <c r="B7" s="102"/>
      <c r="D7" s="98"/>
      <c r="E7" s="103"/>
      <c r="F7" s="99"/>
      <c r="G7" s="86"/>
      <c r="I7" s="35">
        <v>325</v>
      </c>
      <c r="J7" s="36">
        <v>80000</v>
      </c>
      <c r="K7" s="36">
        <v>32000</v>
      </c>
      <c r="L7" s="100"/>
      <c r="M7" s="45">
        <f>I7/J7*K7</f>
        <v>130</v>
      </c>
      <c r="U7" s="10" t="s">
        <v>494</v>
      </c>
    </row>
    <row r="8" spans="1:25" ht="16.5" customHeight="1" x14ac:dyDescent="0.3">
      <c r="A8" s="104" t="s">
        <v>550</v>
      </c>
      <c r="B8" s="105"/>
      <c r="C8" s="106"/>
      <c r="D8" s="107"/>
      <c r="E8" s="67">
        <v>4.3499999999999996</v>
      </c>
      <c r="F8" s="30"/>
      <c r="G8" s="108"/>
      <c r="U8" s="95" t="s">
        <v>495</v>
      </c>
    </row>
    <row r="9" spans="1:25" ht="16.5" customHeight="1" x14ac:dyDescent="0.3">
      <c r="A9" s="109" t="s">
        <v>551</v>
      </c>
      <c r="B9" s="105"/>
      <c r="C9" s="110"/>
      <c r="D9" s="111"/>
      <c r="E9" s="68">
        <v>215</v>
      </c>
      <c r="F9" s="99" t="s">
        <v>391</v>
      </c>
      <c r="G9" s="112"/>
    </row>
    <row r="10" spans="1:25" ht="16.5" customHeight="1" x14ac:dyDescent="0.3">
      <c r="A10" s="104" t="s">
        <v>54</v>
      </c>
      <c r="B10" s="105"/>
      <c r="C10" s="110"/>
      <c r="D10" s="111"/>
      <c r="E10" s="71">
        <v>1</v>
      </c>
      <c r="F10" s="99" t="s">
        <v>54</v>
      </c>
      <c r="G10" s="113"/>
      <c r="I10" s="265" t="s">
        <v>407</v>
      </c>
      <c r="J10" s="266"/>
      <c r="K10" s="266"/>
      <c r="L10" s="266"/>
      <c r="M10" s="267"/>
      <c r="U10" s="263" t="s">
        <v>501</v>
      </c>
      <c r="V10" s="264"/>
      <c r="W10" s="264"/>
      <c r="X10" s="264"/>
      <c r="Y10" s="264"/>
    </row>
    <row r="11" spans="1:25" ht="16.5" hidden="1" customHeight="1" x14ac:dyDescent="0.3">
      <c r="A11" s="104"/>
      <c r="B11" s="114"/>
      <c r="C11" s="110"/>
      <c r="D11" s="111"/>
      <c r="E11" s="115"/>
      <c r="F11" s="99"/>
      <c r="G11" s="113"/>
      <c r="U11" s="264"/>
      <c r="V11" s="264"/>
      <c r="W11" s="264"/>
      <c r="X11" s="264"/>
      <c r="Y11" s="264"/>
    </row>
    <row r="12" spans="1:25" ht="16.5" hidden="1" customHeight="1" x14ac:dyDescent="0.3">
      <c r="A12" s="116" t="s">
        <v>371</v>
      </c>
      <c r="B12" s="117"/>
      <c r="C12" s="118"/>
      <c r="D12" s="119"/>
      <c r="E12" s="120">
        <v>0</v>
      </c>
      <c r="F12" s="121"/>
      <c r="G12" s="122"/>
      <c r="U12" s="264"/>
      <c r="V12" s="264"/>
      <c r="W12" s="264"/>
      <c r="X12" s="264"/>
      <c r="Y12" s="264"/>
    </row>
    <row r="13" spans="1:25" ht="16.5" customHeight="1" x14ac:dyDescent="0.3">
      <c r="A13" s="104"/>
      <c r="B13" s="123"/>
      <c r="C13" s="124"/>
      <c r="D13" s="125"/>
      <c r="E13" s="126"/>
      <c r="F13" s="99"/>
      <c r="G13" s="113"/>
      <c r="U13" s="264"/>
      <c r="V13" s="264"/>
      <c r="W13" s="264"/>
      <c r="X13" s="264"/>
      <c r="Y13" s="264"/>
    </row>
    <row r="14" spans="1:25" ht="16.5" customHeight="1" x14ac:dyDescent="0.3">
      <c r="A14" s="257" t="s">
        <v>291</v>
      </c>
      <c r="B14" s="259"/>
      <c r="C14" s="124"/>
      <c r="D14" s="128"/>
      <c r="E14" s="129" t="s">
        <v>35</v>
      </c>
      <c r="F14" s="130"/>
      <c r="G14" s="131"/>
      <c r="I14" s="132" t="s">
        <v>424</v>
      </c>
      <c r="J14" s="132" t="s">
        <v>425</v>
      </c>
      <c r="K14" s="132" t="s">
        <v>434</v>
      </c>
      <c r="L14" s="132" t="s">
        <v>432</v>
      </c>
      <c r="M14" s="93" t="s">
        <v>404</v>
      </c>
    </row>
    <row r="15" spans="1:25" ht="16.5" customHeight="1" thickBot="1" x14ac:dyDescent="0.35">
      <c r="A15" s="258"/>
      <c r="B15" s="260"/>
      <c r="C15" s="34"/>
      <c r="D15" s="33"/>
      <c r="E15" s="24">
        <f>(E8*E9)+E12</f>
        <v>935.24999999999989</v>
      </c>
      <c r="F15" s="31"/>
      <c r="G15" s="29"/>
      <c r="I15" s="132"/>
      <c r="J15" s="100" t="s">
        <v>60</v>
      </c>
      <c r="K15" s="132"/>
      <c r="L15" s="100" t="s">
        <v>60</v>
      </c>
      <c r="M15" s="93"/>
      <c r="U15" s="272" t="s">
        <v>453</v>
      </c>
      <c r="V15" s="273"/>
      <c r="W15" s="273"/>
      <c r="X15" s="273"/>
      <c r="Y15" s="274"/>
    </row>
    <row r="16" spans="1:25" ht="16.5" customHeight="1" thickTop="1" x14ac:dyDescent="0.3">
      <c r="A16" s="104"/>
      <c r="B16" s="105"/>
      <c r="C16" s="133" t="s">
        <v>445</v>
      </c>
      <c r="D16" s="133"/>
      <c r="E16" s="134"/>
      <c r="F16" s="135"/>
      <c r="G16" s="112"/>
      <c r="I16" s="136" t="s">
        <v>578</v>
      </c>
      <c r="J16" s="35">
        <v>513</v>
      </c>
      <c r="K16" s="37" t="s">
        <v>3</v>
      </c>
      <c r="L16" s="36">
        <v>48</v>
      </c>
      <c r="M16" s="39">
        <f>'Fertilizer (Build Irrigated)'!J5</f>
        <v>131.36904000000001</v>
      </c>
      <c r="U16" s="10" t="s">
        <v>454</v>
      </c>
      <c r="Y16" s="54" t="s">
        <v>455</v>
      </c>
    </row>
    <row r="17" spans="1:25" ht="16.5" customHeight="1" x14ac:dyDescent="0.3">
      <c r="A17" s="137" t="s">
        <v>252</v>
      </c>
      <c r="B17" s="138"/>
      <c r="C17" s="139" t="s">
        <v>392</v>
      </c>
      <c r="D17" s="133"/>
      <c r="E17" s="140"/>
      <c r="F17" s="141"/>
      <c r="G17" s="112"/>
      <c r="I17" s="136" t="s">
        <v>576</v>
      </c>
      <c r="J17" s="35">
        <v>1100</v>
      </c>
      <c r="K17" s="37" t="s">
        <v>435</v>
      </c>
      <c r="L17" s="36">
        <v>0</v>
      </c>
      <c r="M17" s="39">
        <f>'Fertilizer (Build Irrigated)'!J6</f>
        <v>0</v>
      </c>
      <c r="T17" s="54"/>
      <c r="U17" s="37" t="s">
        <v>51</v>
      </c>
      <c r="V17" s="37" t="s">
        <v>52</v>
      </c>
      <c r="W17" s="37" t="s">
        <v>442</v>
      </c>
      <c r="X17" s="37" t="s">
        <v>53</v>
      </c>
      <c r="Y17" s="100" t="s">
        <v>477</v>
      </c>
    </row>
    <row r="18" spans="1:25" ht="16.5" customHeight="1" x14ac:dyDescent="0.3">
      <c r="A18" s="142" t="s">
        <v>372</v>
      </c>
      <c r="B18" s="138"/>
      <c r="C18" s="139" t="s">
        <v>393</v>
      </c>
      <c r="D18" s="133"/>
      <c r="E18" s="143" t="s">
        <v>35</v>
      </c>
      <c r="F18" s="144"/>
      <c r="G18" s="112"/>
      <c r="I18" s="136" t="s">
        <v>451</v>
      </c>
      <c r="J18" s="35">
        <v>550</v>
      </c>
      <c r="K18" s="37" t="s">
        <v>3</v>
      </c>
      <c r="L18" s="36">
        <v>0</v>
      </c>
      <c r="M18" s="39">
        <f>'Fertilizer (Build Irrigated)'!J7</f>
        <v>0</v>
      </c>
      <c r="T18" s="100" t="s">
        <v>478</v>
      </c>
      <c r="U18" s="60">
        <v>0</v>
      </c>
      <c r="V18" s="60">
        <v>0</v>
      </c>
      <c r="W18" s="60">
        <v>0</v>
      </c>
      <c r="X18" s="60">
        <v>0</v>
      </c>
      <c r="Y18" s="61" t="s">
        <v>464</v>
      </c>
    </row>
    <row r="19" spans="1:25" ht="16.5" customHeight="1" x14ac:dyDescent="0.3">
      <c r="A19" s="127" t="s">
        <v>36</v>
      </c>
      <c r="B19" s="105"/>
      <c r="C19" s="74" t="s">
        <v>590</v>
      </c>
      <c r="D19" s="26"/>
      <c r="E19" s="145">
        <f>M7</f>
        <v>130</v>
      </c>
      <c r="F19" s="32">
        <f t="shared" ref="F19:F39" si="0">E19</f>
        <v>130</v>
      </c>
      <c r="G19" s="131"/>
      <c r="I19" s="37" t="s">
        <v>426</v>
      </c>
      <c r="J19" s="35">
        <v>853</v>
      </c>
      <c r="K19" s="37" t="s">
        <v>435</v>
      </c>
      <c r="L19" s="36">
        <v>0</v>
      </c>
      <c r="M19" s="39">
        <f>'Fertilizer (Build Irrigated)'!J4</f>
        <v>0</v>
      </c>
      <c r="T19" s="146" t="s">
        <v>482</v>
      </c>
      <c r="U19" s="147">
        <v>0</v>
      </c>
      <c r="V19" s="147">
        <v>0</v>
      </c>
      <c r="W19" s="147">
        <v>0</v>
      </c>
      <c r="X19" s="147">
        <v>0</v>
      </c>
      <c r="Y19" s="10" t="s">
        <v>457</v>
      </c>
    </row>
    <row r="20" spans="1:25" ht="16.5" customHeight="1" x14ac:dyDescent="0.3">
      <c r="A20" s="104" t="s">
        <v>37</v>
      </c>
      <c r="B20" s="114"/>
      <c r="C20" s="74" t="s">
        <v>591</v>
      </c>
      <c r="D20" s="26"/>
      <c r="E20" s="145">
        <f>M34</f>
        <v>410.52804000000003</v>
      </c>
      <c r="F20" s="32">
        <f t="shared" si="0"/>
        <v>410.52804000000003</v>
      </c>
      <c r="G20" s="29"/>
      <c r="I20" s="37" t="s">
        <v>405</v>
      </c>
      <c r="J20" s="35">
        <v>857</v>
      </c>
      <c r="K20" s="37" t="s">
        <v>435</v>
      </c>
      <c r="L20" s="36">
        <v>174</v>
      </c>
      <c r="M20" s="39">
        <f>'Fertilizer (Build Irrigated)'!J9+'Fertilizer (Build Irrigated)'!J15</f>
        <v>74.558999999999997</v>
      </c>
    </row>
    <row r="21" spans="1:25" ht="16.5" customHeight="1" x14ac:dyDescent="0.3">
      <c r="A21" s="104" t="s">
        <v>257</v>
      </c>
      <c r="B21" s="114"/>
      <c r="C21" s="74" t="s">
        <v>556</v>
      </c>
      <c r="D21" s="26"/>
      <c r="E21" s="148">
        <f>M78</f>
        <v>73.259375000000006</v>
      </c>
      <c r="F21" s="32">
        <f t="shared" si="0"/>
        <v>73.259375000000006</v>
      </c>
      <c r="G21" s="29"/>
      <c r="I21" s="37" t="s">
        <v>427</v>
      </c>
      <c r="J21" s="35">
        <v>894</v>
      </c>
      <c r="K21" s="37" t="s">
        <v>435</v>
      </c>
      <c r="L21" s="36">
        <v>0</v>
      </c>
      <c r="M21" s="39">
        <f>'Fertilizer (Build Irrigated)'!J10+'Fertilizer (Build Irrigated)'!J16</f>
        <v>0</v>
      </c>
      <c r="U21" s="10" t="s">
        <v>458</v>
      </c>
      <c r="Y21" s="54" t="s">
        <v>455</v>
      </c>
    </row>
    <row r="22" spans="1:25" ht="16.5" customHeight="1" x14ac:dyDescent="0.3">
      <c r="A22" s="104" t="s">
        <v>41</v>
      </c>
      <c r="B22" s="105"/>
      <c r="C22" s="74" t="s">
        <v>592</v>
      </c>
      <c r="D22" s="26"/>
      <c r="E22" s="69">
        <v>30</v>
      </c>
      <c r="F22" s="32">
        <f t="shared" si="0"/>
        <v>30</v>
      </c>
      <c r="G22" s="29"/>
      <c r="I22" s="37" t="s">
        <v>488</v>
      </c>
      <c r="J22" s="35">
        <v>700</v>
      </c>
      <c r="K22" s="37" t="s">
        <v>3</v>
      </c>
      <c r="L22" s="36">
        <v>5</v>
      </c>
      <c r="M22" s="39">
        <f>'Fertilizer (Build Irrigated)'!J8</f>
        <v>20.474999999999998</v>
      </c>
      <c r="O22" s="149">
        <f>J25/2000</f>
        <v>0.33750000000000002</v>
      </c>
      <c r="P22" s="149">
        <f>O22*L25</f>
        <v>15.187500000000002</v>
      </c>
      <c r="U22" s="37" t="s">
        <v>51</v>
      </c>
      <c r="V22" s="37" t="s">
        <v>52</v>
      </c>
      <c r="W22" s="37" t="s">
        <v>442</v>
      </c>
      <c r="X22" s="37" t="s">
        <v>53</v>
      </c>
      <c r="Y22" s="100" t="s">
        <v>477</v>
      </c>
    </row>
    <row r="23" spans="1:25" ht="16.5" customHeight="1" x14ac:dyDescent="0.3">
      <c r="A23" s="104" t="s">
        <v>397</v>
      </c>
      <c r="B23" s="105"/>
      <c r="C23" s="74" t="s">
        <v>593</v>
      </c>
      <c r="D23" s="26"/>
      <c r="E23" s="69">
        <v>2</v>
      </c>
      <c r="F23" s="32">
        <f t="shared" si="0"/>
        <v>2</v>
      </c>
      <c r="G23" s="29"/>
      <c r="I23" s="37" t="s">
        <v>406</v>
      </c>
      <c r="J23" s="35">
        <v>503</v>
      </c>
      <c r="K23" s="37" t="s">
        <v>435</v>
      </c>
      <c r="L23" s="36">
        <v>125</v>
      </c>
      <c r="M23" s="39">
        <f>'Fertilizer (Build Irrigated)'!J17</f>
        <v>31.4375</v>
      </c>
      <c r="O23" s="2"/>
      <c r="T23" s="100" t="s">
        <v>478</v>
      </c>
      <c r="U23" s="60">
        <v>0</v>
      </c>
      <c r="V23" s="60">
        <v>0</v>
      </c>
      <c r="W23" s="60">
        <v>0</v>
      </c>
      <c r="X23" s="60">
        <v>0</v>
      </c>
      <c r="Y23" s="61" t="s">
        <v>464</v>
      </c>
    </row>
    <row r="24" spans="1:25" ht="16.5" customHeight="1" x14ac:dyDescent="0.3">
      <c r="A24" s="104" t="s">
        <v>396</v>
      </c>
      <c r="B24" s="105"/>
      <c r="C24" s="74" t="s">
        <v>594</v>
      </c>
      <c r="D24" s="26"/>
      <c r="E24" s="69">
        <v>20</v>
      </c>
      <c r="F24" s="32">
        <f t="shared" si="0"/>
        <v>20</v>
      </c>
      <c r="G24" s="29"/>
      <c r="I24" s="37" t="s">
        <v>487</v>
      </c>
      <c r="J24" s="35">
        <v>0</v>
      </c>
      <c r="K24" s="37" t="s">
        <v>435</v>
      </c>
      <c r="L24" s="36">
        <v>0</v>
      </c>
      <c r="M24" s="39">
        <f>'Fertilizer (Build Irrigated)'!J18</f>
        <v>0</v>
      </c>
      <c r="T24" s="150" t="s">
        <v>483</v>
      </c>
      <c r="U24" s="147">
        <v>0</v>
      </c>
      <c r="V24" s="147">
        <v>0</v>
      </c>
      <c r="W24" s="147">
        <v>0</v>
      </c>
      <c r="X24" s="147">
        <v>0</v>
      </c>
      <c r="Y24" s="10" t="s">
        <v>457</v>
      </c>
    </row>
    <row r="25" spans="1:25" ht="16.5" customHeight="1" x14ac:dyDescent="0.3">
      <c r="A25" s="104" t="s">
        <v>43</v>
      </c>
      <c r="B25" s="114"/>
      <c r="C25" s="74" t="s">
        <v>559</v>
      </c>
      <c r="D25" s="26"/>
      <c r="E25" s="70">
        <v>40</v>
      </c>
      <c r="F25" s="32">
        <f t="shared" si="0"/>
        <v>40</v>
      </c>
      <c r="G25" s="29"/>
      <c r="I25" s="37" t="s">
        <v>452</v>
      </c>
      <c r="J25" s="35">
        <v>675</v>
      </c>
      <c r="K25" s="37" t="s">
        <v>435</v>
      </c>
      <c r="L25" s="36">
        <v>45</v>
      </c>
      <c r="M25" s="40">
        <f>'Fertilizer (Build Irrigated)'!J11+'Fertilizer (Build Irrigated)'!J20</f>
        <v>15.187499999999998</v>
      </c>
    </row>
    <row r="26" spans="1:25" ht="16.5" customHeight="1" x14ac:dyDescent="0.3">
      <c r="A26" s="104" t="s">
        <v>46</v>
      </c>
      <c r="B26" s="114"/>
      <c r="C26" s="74" t="s">
        <v>595</v>
      </c>
      <c r="D26" s="26"/>
      <c r="E26" s="70">
        <v>64</v>
      </c>
      <c r="F26" s="32">
        <f t="shared" si="0"/>
        <v>64</v>
      </c>
      <c r="G26" s="29"/>
      <c r="I26" s="37" t="s">
        <v>489</v>
      </c>
      <c r="J26" s="35">
        <v>0</v>
      </c>
      <c r="K26" s="37" t="s">
        <v>435</v>
      </c>
      <c r="L26" s="36">
        <v>0</v>
      </c>
      <c r="M26" s="39">
        <f>'Fertilizer (Build Irrigated)'!J21</f>
        <v>0</v>
      </c>
      <c r="U26" s="263" t="s">
        <v>476</v>
      </c>
      <c r="V26" s="263"/>
      <c r="W26" s="263"/>
      <c r="X26" s="263"/>
      <c r="Y26" s="263"/>
    </row>
    <row r="27" spans="1:25" ht="16.5" customHeight="1" x14ac:dyDescent="0.3">
      <c r="A27" s="104" t="s">
        <v>38</v>
      </c>
      <c r="B27" s="114"/>
      <c r="C27" s="74" t="s">
        <v>561</v>
      </c>
      <c r="D27" s="26"/>
      <c r="E27" s="70">
        <v>18</v>
      </c>
      <c r="F27" s="32">
        <f t="shared" si="0"/>
        <v>18</v>
      </c>
      <c r="G27" s="29"/>
      <c r="I27" s="37" t="s">
        <v>492</v>
      </c>
      <c r="J27" s="35">
        <v>55</v>
      </c>
      <c r="K27" s="37" t="s">
        <v>481</v>
      </c>
      <c r="L27" s="36">
        <v>2.5</v>
      </c>
      <c r="M27" s="39">
        <f>J27*L27</f>
        <v>137.5</v>
      </c>
      <c r="U27" s="263"/>
      <c r="V27" s="263"/>
      <c r="W27" s="263"/>
      <c r="X27" s="263"/>
      <c r="Y27" s="263"/>
    </row>
    <row r="28" spans="1:25" ht="16.5" customHeight="1" x14ac:dyDescent="0.3">
      <c r="A28" s="104" t="s">
        <v>390</v>
      </c>
      <c r="B28" s="105"/>
      <c r="C28" s="74" t="s">
        <v>562</v>
      </c>
      <c r="D28" s="26"/>
      <c r="E28" s="70">
        <v>11</v>
      </c>
      <c r="F28" s="32">
        <f t="shared" si="0"/>
        <v>11</v>
      </c>
      <c r="G28" s="29"/>
      <c r="I28" s="37" t="s">
        <v>463</v>
      </c>
      <c r="J28" s="35">
        <v>50</v>
      </c>
      <c r="K28" s="37" t="s">
        <v>481</v>
      </c>
      <c r="L28" s="36">
        <v>0</v>
      </c>
      <c r="M28" s="39">
        <f>J28*L28</f>
        <v>0</v>
      </c>
    </row>
    <row r="29" spans="1:25" ht="16.5" customHeight="1" x14ac:dyDescent="0.3">
      <c r="A29" s="104" t="s">
        <v>42</v>
      </c>
      <c r="B29" s="105"/>
      <c r="C29" s="74" t="s">
        <v>401</v>
      </c>
      <c r="D29" s="26"/>
      <c r="E29" s="70">
        <v>3</v>
      </c>
      <c r="F29" s="32">
        <f t="shared" si="0"/>
        <v>3</v>
      </c>
      <c r="G29" s="29"/>
      <c r="I29" s="37" t="s">
        <v>479</v>
      </c>
      <c r="J29" s="35">
        <v>0.01</v>
      </c>
      <c r="K29" s="37" t="s">
        <v>480</v>
      </c>
      <c r="L29" s="63">
        <v>0</v>
      </c>
      <c r="M29" s="46">
        <f>J29*L29*1000</f>
        <v>0</v>
      </c>
      <c r="U29" s="151" t="s">
        <v>473</v>
      </c>
      <c r="V29" s="151"/>
      <c r="W29" s="151"/>
      <c r="X29" s="151"/>
    </row>
    <row r="30" spans="1:25" ht="16.5" customHeight="1" x14ac:dyDescent="0.3">
      <c r="A30" s="104" t="s">
        <v>48</v>
      </c>
      <c r="B30" s="105"/>
      <c r="C30" s="74" t="s">
        <v>399</v>
      </c>
      <c r="D30" s="26"/>
      <c r="E30" s="69">
        <v>2.5</v>
      </c>
      <c r="F30" s="32">
        <f t="shared" si="0"/>
        <v>2.5</v>
      </c>
      <c r="G30" s="29"/>
      <c r="I30" s="37"/>
      <c r="J30" s="37"/>
      <c r="K30" s="37"/>
      <c r="L30" s="37"/>
      <c r="M30" s="37"/>
      <c r="U30" s="154" t="s">
        <v>51</v>
      </c>
      <c r="V30" s="154" t="s">
        <v>52</v>
      </c>
      <c r="W30" s="154" t="s">
        <v>442</v>
      </c>
      <c r="X30" s="154" t="s">
        <v>53</v>
      </c>
    </row>
    <row r="31" spans="1:25" ht="16.5" customHeight="1" x14ac:dyDescent="0.3">
      <c r="A31" s="104" t="s">
        <v>49</v>
      </c>
      <c r="B31" s="105"/>
      <c r="C31" s="74" t="s">
        <v>563</v>
      </c>
      <c r="D31" s="26"/>
      <c r="E31" s="70">
        <v>5</v>
      </c>
      <c r="F31" s="32">
        <f t="shared" si="0"/>
        <v>5</v>
      </c>
      <c r="G31" s="29"/>
      <c r="I31" s="132" t="s">
        <v>625</v>
      </c>
      <c r="J31" s="132" t="s">
        <v>627</v>
      </c>
      <c r="K31" s="162"/>
      <c r="L31" s="132" t="s">
        <v>626</v>
      </c>
      <c r="M31" s="93" t="s">
        <v>404</v>
      </c>
      <c r="U31" s="154">
        <v>42</v>
      </c>
      <c r="V31" s="154">
        <v>75</v>
      </c>
      <c r="W31" s="154">
        <v>58</v>
      </c>
      <c r="X31" s="154">
        <v>8</v>
      </c>
    </row>
    <row r="32" spans="1:25" ht="16.5" customHeight="1" x14ac:dyDescent="0.3">
      <c r="A32" s="104" t="s">
        <v>368</v>
      </c>
      <c r="B32" s="105"/>
      <c r="C32" s="74" t="s">
        <v>619</v>
      </c>
      <c r="D32" s="26"/>
      <c r="E32" s="70">
        <v>30</v>
      </c>
      <c r="F32" s="32">
        <f t="shared" si="0"/>
        <v>30</v>
      </c>
      <c r="G32" s="29"/>
      <c r="I32" s="37" t="s">
        <v>168</v>
      </c>
      <c r="J32" s="35">
        <v>10</v>
      </c>
      <c r="K32" s="37"/>
      <c r="L32" s="36">
        <v>0</v>
      </c>
      <c r="M32" s="39">
        <f>J32*L32</f>
        <v>0</v>
      </c>
    </row>
    <row r="33" spans="1:25" ht="16.5" customHeight="1" x14ac:dyDescent="0.3">
      <c r="A33" s="109" t="s">
        <v>511</v>
      </c>
      <c r="B33" s="105"/>
      <c r="C33" s="74" t="s">
        <v>513</v>
      </c>
      <c r="D33" s="26"/>
      <c r="E33" s="70">
        <v>0</v>
      </c>
      <c r="F33" s="32">
        <f t="shared" si="0"/>
        <v>0</v>
      </c>
      <c r="G33" s="29"/>
      <c r="R33" s="10">
        <v>0</v>
      </c>
      <c r="S33" s="10" t="s">
        <v>441</v>
      </c>
      <c r="U33" s="151" t="s">
        <v>474</v>
      </c>
      <c r="V33" s="151"/>
      <c r="W33" s="151"/>
      <c r="X33" s="151"/>
    </row>
    <row r="34" spans="1:25" ht="16.5" customHeight="1" x14ac:dyDescent="0.3">
      <c r="A34" s="109" t="s">
        <v>512</v>
      </c>
      <c r="B34" s="105"/>
      <c r="C34" s="74" t="s">
        <v>514</v>
      </c>
      <c r="D34" s="26"/>
      <c r="E34" s="70">
        <v>0</v>
      </c>
      <c r="F34" s="32">
        <f t="shared" si="0"/>
        <v>0</v>
      </c>
      <c r="G34" s="29"/>
      <c r="L34" s="152" t="s">
        <v>431</v>
      </c>
      <c r="M34" s="153">
        <f>SUM(M16:M32)</f>
        <v>410.52804000000003</v>
      </c>
      <c r="R34" s="158">
        <v>8</v>
      </c>
      <c r="S34" s="159" t="s">
        <v>437</v>
      </c>
      <c r="T34" s="159"/>
      <c r="U34" s="154" t="s">
        <v>51</v>
      </c>
      <c r="V34" s="154" t="s">
        <v>52</v>
      </c>
      <c r="W34" s="154" t="s">
        <v>442</v>
      </c>
      <c r="X34" s="154" t="s">
        <v>53</v>
      </c>
    </row>
    <row r="35" spans="1:25" ht="16.5" customHeight="1" x14ac:dyDescent="0.3">
      <c r="A35" s="109" t="s">
        <v>472</v>
      </c>
      <c r="B35" s="105"/>
      <c r="C35" s="227" t="s">
        <v>565</v>
      </c>
      <c r="D35" s="26"/>
      <c r="E35" s="70">
        <v>14</v>
      </c>
      <c r="F35" s="32">
        <f t="shared" si="0"/>
        <v>14</v>
      </c>
      <c r="G35" s="29"/>
      <c r="M35" s="153"/>
      <c r="R35" s="158">
        <v>16</v>
      </c>
      <c r="S35" s="159" t="s">
        <v>438</v>
      </c>
      <c r="T35" s="159"/>
      <c r="U35" s="154">
        <v>43</v>
      </c>
      <c r="V35" s="154">
        <v>17</v>
      </c>
      <c r="W35" s="154">
        <v>38</v>
      </c>
      <c r="X35" s="154">
        <v>10</v>
      </c>
    </row>
    <row r="36" spans="1:25" ht="16.5" customHeight="1" x14ac:dyDescent="0.3">
      <c r="A36" s="109" t="s">
        <v>366</v>
      </c>
      <c r="B36" s="105"/>
      <c r="C36" s="74" t="s">
        <v>400</v>
      </c>
      <c r="D36" s="26"/>
      <c r="E36" s="70">
        <v>8</v>
      </c>
      <c r="F36" s="32">
        <f t="shared" si="0"/>
        <v>8</v>
      </c>
      <c r="G36" s="29"/>
      <c r="J36" s="155" t="s">
        <v>51</v>
      </c>
      <c r="K36" s="155" t="s">
        <v>52</v>
      </c>
      <c r="L36" s="155" t="s">
        <v>442</v>
      </c>
      <c r="M36" s="155" t="s">
        <v>53</v>
      </c>
      <c r="R36" s="158">
        <v>128</v>
      </c>
      <c r="S36" s="159" t="s">
        <v>439</v>
      </c>
      <c r="T36" s="159"/>
    </row>
    <row r="37" spans="1:25" ht="16.5" customHeight="1" x14ac:dyDescent="0.3">
      <c r="A37" s="72" t="s">
        <v>475</v>
      </c>
      <c r="B37" s="105"/>
      <c r="C37" s="74"/>
      <c r="D37" s="160"/>
      <c r="E37" s="69">
        <v>0</v>
      </c>
      <c r="F37" s="32">
        <f t="shared" si="0"/>
        <v>0</v>
      </c>
      <c r="G37" s="29"/>
      <c r="I37" s="4" t="s">
        <v>581</v>
      </c>
      <c r="J37" s="156">
        <f>'Fertilizer (Build Irrigated)'!P5+(U19*L28)+(L29*U24)</f>
        <v>190.02479999999997</v>
      </c>
      <c r="K37" s="156">
        <f>'Fertilizer (Build Irrigated)'!Q5+(V19*L28)+(L29*V24)</f>
        <v>99.93</v>
      </c>
      <c r="L37" s="156">
        <f>'Fertilizer (Build Irrigated)'!R5+(W19*L28)+(L29*W24)</f>
        <v>75</v>
      </c>
      <c r="M37" s="156">
        <f>'Fertilizer (Build Irrigated)'!S5+(X19*L28)+(L29*X24)</f>
        <v>10.799999999999999</v>
      </c>
      <c r="N37" s="161"/>
      <c r="R37" s="10">
        <v>4</v>
      </c>
      <c r="S37" s="10" t="s">
        <v>440</v>
      </c>
      <c r="U37" s="270" t="s">
        <v>515</v>
      </c>
      <c r="V37" s="270"/>
      <c r="W37" s="270"/>
      <c r="X37" s="270"/>
      <c r="Y37" s="270"/>
    </row>
    <row r="38" spans="1:25" ht="16.5" customHeight="1" x14ac:dyDescent="0.3">
      <c r="A38" s="72" t="s">
        <v>475</v>
      </c>
      <c r="B38" s="105"/>
      <c r="C38" s="74"/>
      <c r="D38" s="160"/>
      <c r="E38" s="69">
        <v>0</v>
      </c>
      <c r="F38" s="32">
        <f t="shared" si="0"/>
        <v>0</v>
      </c>
      <c r="G38" s="29"/>
      <c r="I38" s="234" t="s">
        <v>588</v>
      </c>
      <c r="J38" s="157"/>
      <c r="K38" s="147"/>
      <c r="L38" s="147"/>
      <c r="M38" s="147"/>
      <c r="U38" s="270"/>
      <c r="V38" s="270"/>
      <c r="W38" s="270"/>
      <c r="X38" s="270"/>
      <c r="Y38" s="270"/>
    </row>
    <row r="39" spans="1:25" ht="16.5" customHeight="1" x14ac:dyDescent="0.3">
      <c r="A39" s="72" t="s">
        <v>475</v>
      </c>
      <c r="B39" s="105"/>
      <c r="C39" s="74"/>
      <c r="D39" s="160"/>
      <c r="E39" s="69">
        <v>0</v>
      </c>
      <c r="F39" s="32">
        <f t="shared" si="0"/>
        <v>0</v>
      </c>
      <c r="G39" s="29"/>
      <c r="I39" s="234"/>
      <c r="J39" s="157"/>
      <c r="K39" s="147"/>
      <c r="L39" s="147"/>
      <c r="M39" s="147"/>
      <c r="U39" s="270"/>
      <c r="V39" s="270"/>
      <c r="W39" s="270"/>
      <c r="X39" s="270"/>
      <c r="Y39" s="270"/>
    </row>
    <row r="40" spans="1:25" ht="16.5" customHeight="1" thickBot="1" x14ac:dyDescent="0.35">
      <c r="A40" s="163" t="s">
        <v>251</v>
      </c>
      <c r="B40" s="164"/>
      <c r="C40" s="18"/>
      <c r="D40" s="22"/>
      <c r="E40" s="23">
        <f>SUM(E19:E39)</f>
        <v>861.28741500000001</v>
      </c>
      <c r="F40" s="165"/>
      <c r="G40" s="29"/>
      <c r="I40" s="265" t="s">
        <v>433</v>
      </c>
      <c r="J40" s="266"/>
      <c r="K40" s="266"/>
      <c r="L40" s="266"/>
      <c r="M40" s="267"/>
      <c r="U40" s="270"/>
      <c r="V40" s="270"/>
      <c r="W40" s="270"/>
      <c r="X40" s="270"/>
      <c r="Y40" s="270"/>
    </row>
    <row r="41" spans="1:25" ht="16.5" customHeight="1" thickTop="1" x14ac:dyDescent="0.3">
      <c r="A41" s="166" t="s">
        <v>370</v>
      </c>
      <c r="B41" s="167"/>
      <c r="C41" s="168"/>
      <c r="D41" s="169"/>
      <c r="E41" s="170">
        <f>E15-E40</f>
        <v>73.962584999999876</v>
      </c>
      <c r="F41" s="171"/>
      <c r="G41" s="29"/>
      <c r="U41" s="270"/>
      <c r="V41" s="270"/>
      <c r="W41" s="270"/>
      <c r="X41" s="270"/>
      <c r="Y41" s="270"/>
    </row>
    <row r="42" spans="1:25" ht="16.5" customHeight="1" x14ac:dyDescent="0.3">
      <c r="A42" s="172"/>
      <c r="B42" s="138"/>
      <c r="C42" s="173"/>
      <c r="D42" s="174"/>
      <c r="E42" s="175"/>
      <c r="F42" s="135"/>
      <c r="G42" s="29"/>
      <c r="I42" s="271" t="s">
        <v>497</v>
      </c>
      <c r="J42" s="271"/>
      <c r="K42" s="271"/>
      <c r="L42" s="271"/>
      <c r="M42" s="271"/>
      <c r="U42" s="270"/>
      <c r="V42" s="270"/>
      <c r="W42" s="270"/>
      <c r="X42" s="270"/>
      <c r="Y42" s="270"/>
    </row>
    <row r="43" spans="1:25" ht="16.5" customHeight="1" x14ac:dyDescent="0.3">
      <c r="A43" s="176" t="s">
        <v>373</v>
      </c>
      <c r="B43" s="138"/>
      <c r="C43" s="173"/>
      <c r="D43" s="174"/>
      <c r="E43" s="143" t="s">
        <v>35</v>
      </c>
      <c r="F43" s="144"/>
      <c r="G43" s="29"/>
      <c r="I43" s="132" t="s">
        <v>424</v>
      </c>
      <c r="J43" s="132" t="s">
        <v>436</v>
      </c>
      <c r="K43" s="162" t="s">
        <v>434</v>
      </c>
      <c r="L43" s="132" t="s">
        <v>432</v>
      </c>
      <c r="M43" s="93" t="s">
        <v>404</v>
      </c>
    </row>
    <row r="44" spans="1:25" ht="16.5" customHeight="1" x14ac:dyDescent="0.3">
      <c r="A44" s="177" t="s">
        <v>256</v>
      </c>
      <c r="B44" s="105"/>
      <c r="C44" s="227" t="s">
        <v>598</v>
      </c>
      <c r="D44" s="160"/>
      <c r="E44" s="70">
        <v>13.5</v>
      </c>
      <c r="F44" s="32">
        <f t="shared" ref="F44:F50" si="1">E44</f>
        <v>13.5</v>
      </c>
      <c r="G44" s="29"/>
      <c r="I44" s="100" t="s">
        <v>60</v>
      </c>
      <c r="J44" s="100" t="s">
        <v>60</v>
      </c>
      <c r="K44" s="100" t="s">
        <v>60</v>
      </c>
      <c r="L44" s="100" t="s">
        <v>60</v>
      </c>
      <c r="M44" s="93"/>
      <c r="U44" s="221" t="s">
        <v>516</v>
      </c>
      <c r="V44" s="2"/>
      <c r="W44" s="2"/>
      <c r="X44" s="222"/>
    </row>
    <row r="45" spans="1:25" ht="16.5" customHeight="1" x14ac:dyDescent="0.3">
      <c r="A45" s="109" t="s">
        <v>169</v>
      </c>
      <c r="B45" s="105"/>
      <c r="C45" s="227" t="s">
        <v>599</v>
      </c>
      <c r="D45" s="160"/>
      <c r="E45" s="70">
        <v>260</v>
      </c>
      <c r="F45" s="32">
        <f t="shared" si="1"/>
        <v>260</v>
      </c>
      <c r="G45" s="29"/>
      <c r="I45" s="36" t="s">
        <v>596</v>
      </c>
      <c r="J45" s="35">
        <v>200</v>
      </c>
      <c r="K45" s="55" t="s">
        <v>439</v>
      </c>
      <c r="L45" s="36">
        <v>20</v>
      </c>
      <c r="M45" s="39">
        <f>IFERROR(J45/(_xlfn.XLOOKUP(K45,$S$33:$S$37,$R$33:$R$37))*L45,0)</f>
        <v>31.25</v>
      </c>
      <c r="U45" s="228" t="s">
        <v>517</v>
      </c>
      <c r="V45" s="223" t="s">
        <v>573</v>
      </c>
      <c r="W45" s="2"/>
    </row>
    <row r="46" spans="1:25" ht="16.5" customHeight="1" x14ac:dyDescent="0.3">
      <c r="A46" s="109" t="s">
        <v>471</v>
      </c>
      <c r="B46" s="105"/>
      <c r="C46" s="227" t="s">
        <v>600</v>
      </c>
      <c r="D46" s="160"/>
      <c r="E46" s="70">
        <v>10</v>
      </c>
      <c r="F46" s="32">
        <f t="shared" si="1"/>
        <v>10</v>
      </c>
      <c r="G46" s="29"/>
      <c r="I46" s="36" t="s">
        <v>597</v>
      </c>
      <c r="J46" s="35">
        <v>49</v>
      </c>
      <c r="K46" s="55" t="s">
        <v>440</v>
      </c>
      <c r="L46" s="36">
        <v>1</v>
      </c>
      <c r="M46" s="39">
        <f t="shared" ref="M46" si="2">IFERROR(J46/(_xlfn.XLOOKUP(K46,$S$33:$S$37,$R$33:$R$37))*L46,0)</f>
        <v>12.25</v>
      </c>
      <c r="U46" s="228" t="s">
        <v>518</v>
      </c>
      <c r="V46" s="8" t="s">
        <v>574</v>
      </c>
      <c r="W46" s="221"/>
      <c r="X46" s="222"/>
    </row>
    <row r="47" spans="1:25" ht="16.5" customHeight="1" x14ac:dyDescent="0.3">
      <c r="A47" s="109" t="s">
        <v>470</v>
      </c>
      <c r="B47" s="105"/>
      <c r="C47" s="227" t="s">
        <v>601</v>
      </c>
      <c r="D47" s="160"/>
      <c r="E47" s="70">
        <v>67</v>
      </c>
      <c r="F47" s="32">
        <f t="shared" si="1"/>
        <v>67</v>
      </c>
      <c r="G47" s="29"/>
      <c r="I47" s="36" t="s">
        <v>587</v>
      </c>
      <c r="J47" s="35">
        <v>31.98</v>
      </c>
      <c r="K47" s="55" t="s">
        <v>439</v>
      </c>
      <c r="L47" s="36">
        <v>20</v>
      </c>
      <c r="M47" s="39">
        <f>IFERROR(J47/(_xlfn.XLOOKUP(K47,$S$33:$S$37,$R$33:$R$37))*L47,0)</f>
        <v>4.9968750000000002</v>
      </c>
      <c r="U47" s="228" t="s">
        <v>519</v>
      </c>
      <c r="V47" s="231" t="s">
        <v>575</v>
      </c>
      <c r="X47" s="222"/>
    </row>
    <row r="48" spans="1:25" ht="16.5" customHeight="1" x14ac:dyDescent="0.3">
      <c r="A48" s="109" t="s">
        <v>366</v>
      </c>
      <c r="B48" s="105"/>
      <c r="C48" s="227" t="s">
        <v>400</v>
      </c>
      <c r="D48" s="160"/>
      <c r="E48" s="69">
        <v>6</v>
      </c>
      <c r="F48" s="32">
        <f t="shared" si="1"/>
        <v>6</v>
      </c>
      <c r="G48" s="29"/>
      <c r="I48" s="36" t="s">
        <v>366</v>
      </c>
      <c r="J48" s="35">
        <v>0</v>
      </c>
      <c r="K48" s="55" t="s">
        <v>441</v>
      </c>
      <c r="L48" s="36">
        <v>0</v>
      </c>
      <c r="M48" s="39">
        <f>IFERROR(J48/(_xlfn.XLOOKUP(K48,$S$33:$S$37,$R$33:$R$37))*L48,0)</f>
        <v>0</v>
      </c>
      <c r="U48" s="221" t="s">
        <v>536</v>
      </c>
      <c r="V48" s="224">
        <v>67</v>
      </c>
      <c r="X48" s="222"/>
    </row>
    <row r="49" spans="1:24" ht="16.5" customHeight="1" x14ac:dyDescent="0.3">
      <c r="A49" s="72" t="s">
        <v>475</v>
      </c>
      <c r="B49" s="105"/>
      <c r="C49" s="74"/>
      <c r="D49" s="160"/>
      <c r="E49" s="69">
        <v>0</v>
      </c>
      <c r="F49" s="32">
        <f t="shared" si="1"/>
        <v>0</v>
      </c>
      <c r="G49" s="29"/>
      <c r="I49" s="36" t="s">
        <v>366</v>
      </c>
      <c r="J49" s="35">
        <v>0</v>
      </c>
      <c r="K49" s="55" t="s">
        <v>441</v>
      </c>
      <c r="L49" s="36">
        <v>0</v>
      </c>
      <c r="M49" s="39">
        <f>IFERROR(J49/(_xlfn.XLOOKUP(K49,$S$33:$S$37,$R$33:$R$37))*L49,0)</f>
        <v>0</v>
      </c>
      <c r="U49" s="228" t="s">
        <v>520</v>
      </c>
      <c r="V49" s="8">
        <v>5.6</v>
      </c>
      <c r="W49" s="7"/>
      <c r="X49" s="222"/>
    </row>
    <row r="50" spans="1:24" ht="16.5" customHeight="1" x14ac:dyDescent="0.3">
      <c r="A50" s="73" t="s">
        <v>475</v>
      </c>
      <c r="B50" s="105"/>
      <c r="C50" s="74"/>
      <c r="D50" s="160"/>
      <c r="E50" s="69">
        <v>0</v>
      </c>
      <c r="F50" s="32">
        <f t="shared" si="1"/>
        <v>0</v>
      </c>
      <c r="G50" s="29"/>
      <c r="U50" s="228" t="s">
        <v>521</v>
      </c>
      <c r="V50" s="8">
        <v>6.5</v>
      </c>
      <c r="W50" s="7"/>
      <c r="X50" s="7"/>
    </row>
    <row r="51" spans="1:24" ht="16.5" customHeight="1" x14ac:dyDescent="0.3">
      <c r="A51" s="178" t="s">
        <v>375</v>
      </c>
      <c r="B51" s="179"/>
      <c r="C51" s="19"/>
      <c r="D51" s="26"/>
      <c r="E51" s="62">
        <f>SUM(E44:E50)</f>
        <v>356.5</v>
      </c>
      <c r="F51" s="32">
        <f>E50</f>
        <v>0</v>
      </c>
      <c r="G51" s="29"/>
      <c r="I51" s="10" t="s">
        <v>32</v>
      </c>
      <c r="J51" s="35">
        <v>0</v>
      </c>
      <c r="K51" s="55" t="s">
        <v>441</v>
      </c>
      <c r="L51" s="36">
        <v>0</v>
      </c>
      <c r="M51" s="39">
        <f>IFERROR(J51/(_xlfn.XLOOKUP(K51,$S$33:$S$37,$R$33:$R$37))*L51,0)</f>
        <v>0</v>
      </c>
      <c r="U51" s="228" t="s">
        <v>522</v>
      </c>
      <c r="V51" s="8" t="s">
        <v>579</v>
      </c>
      <c r="W51" s="7"/>
      <c r="X51" s="7"/>
    </row>
    <row r="52" spans="1:24" ht="16.5" customHeight="1" thickBot="1" x14ac:dyDescent="0.35">
      <c r="A52" s="180" t="s">
        <v>376</v>
      </c>
      <c r="B52" s="164"/>
      <c r="C52" s="20"/>
      <c r="D52" s="22"/>
      <c r="E52" s="25">
        <f>E40+E51</f>
        <v>1217.787415</v>
      </c>
      <c r="F52" s="165"/>
      <c r="G52" s="17"/>
      <c r="I52" s="10" t="s">
        <v>67</v>
      </c>
      <c r="J52" s="35">
        <v>0</v>
      </c>
      <c r="K52" s="55" t="s">
        <v>441</v>
      </c>
      <c r="L52" s="36">
        <v>0</v>
      </c>
      <c r="M52" s="39">
        <f t="shared" ref="M52:M55" si="3">IFERROR(J52/(_xlfn.XLOOKUP(K52,$S$33:$S$37,$R$33:$R$37))*L52,0)</f>
        <v>0</v>
      </c>
      <c r="U52" s="228" t="s">
        <v>523</v>
      </c>
      <c r="V52" s="8" t="s">
        <v>580</v>
      </c>
      <c r="W52" s="7"/>
      <c r="X52" s="7"/>
    </row>
    <row r="53" spans="1:24" ht="16.5" customHeight="1" thickTop="1" x14ac:dyDescent="0.3">
      <c r="A53" s="181" t="s">
        <v>388</v>
      </c>
      <c r="B53" s="167"/>
      <c r="C53" s="182"/>
      <c r="D53" s="128"/>
      <c r="E53" s="183">
        <f>E15-E52</f>
        <v>-282.53741500000012</v>
      </c>
      <c r="F53" s="171"/>
      <c r="G53" s="17"/>
      <c r="I53" s="10" t="s">
        <v>70</v>
      </c>
      <c r="J53" s="35">
        <v>0</v>
      </c>
      <c r="K53" s="55" t="s">
        <v>441</v>
      </c>
      <c r="L53" s="36">
        <v>0</v>
      </c>
      <c r="M53" s="39">
        <f t="shared" si="3"/>
        <v>0</v>
      </c>
      <c r="N53" s="161"/>
      <c r="U53" s="228" t="s">
        <v>524</v>
      </c>
      <c r="V53" s="6"/>
      <c r="W53" s="8" t="s">
        <v>570</v>
      </c>
      <c r="X53" s="7"/>
    </row>
    <row r="54" spans="1:24" ht="16.5" customHeight="1" x14ac:dyDescent="0.3">
      <c r="A54" s="184"/>
      <c r="B54" s="138"/>
      <c r="C54" s="185"/>
      <c r="D54" s="185"/>
      <c r="E54" s="186"/>
      <c r="F54" s="187"/>
      <c r="G54" s="188"/>
      <c r="I54" s="10" t="s">
        <v>71</v>
      </c>
      <c r="J54" s="35">
        <v>0</v>
      </c>
      <c r="K54" s="55" t="s">
        <v>441</v>
      </c>
      <c r="L54" s="36">
        <v>0</v>
      </c>
      <c r="M54" s="39">
        <f t="shared" si="3"/>
        <v>0</v>
      </c>
      <c r="U54" s="228" t="s">
        <v>525</v>
      </c>
      <c r="V54" s="8" t="s">
        <v>571</v>
      </c>
      <c r="W54" s="7"/>
      <c r="X54" s="7"/>
    </row>
    <row r="55" spans="1:24" ht="16.5" customHeight="1" x14ac:dyDescent="0.3">
      <c r="A55" s="189" t="s">
        <v>363</v>
      </c>
      <c r="B55" s="190"/>
      <c r="C55" s="190"/>
      <c r="D55" s="190"/>
      <c r="E55" s="190"/>
      <c r="F55" s="191"/>
      <c r="G55" s="192"/>
      <c r="I55" s="10" t="s">
        <v>69</v>
      </c>
      <c r="J55" s="35">
        <v>0</v>
      </c>
      <c r="K55" s="55" t="s">
        <v>441</v>
      </c>
      <c r="L55" s="36">
        <v>0</v>
      </c>
      <c r="M55" s="39">
        <f t="shared" si="3"/>
        <v>0</v>
      </c>
      <c r="U55" s="228" t="s">
        <v>526</v>
      </c>
      <c r="V55" s="6"/>
      <c r="W55" s="229">
        <v>7</v>
      </c>
      <c r="X55" s="7"/>
    </row>
    <row r="56" spans="1:24" ht="16.5" customHeight="1" x14ac:dyDescent="0.3">
      <c r="A56" s="193"/>
      <c r="B56" s="194"/>
      <c r="C56" s="195"/>
      <c r="D56" s="195"/>
      <c r="E56" s="195"/>
      <c r="F56" s="196"/>
      <c r="G56" s="197"/>
      <c r="I56" s="10" t="s">
        <v>499</v>
      </c>
      <c r="J56" s="35">
        <v>0</v>
      </c>
      <c r="K56" s="55" t="s">
        <v>441</v>
      </c>
      <c r="L56" s="36">
        <v>0</v>
      </c>
      <c r="M56" s="39">
        <f>IFERROR(J56/(_xlfn.XLOOKUP(K56,$S$33:$S$37,$R$33:$R$37))*L56,0)</f>
        <v>0</v>
      </c>
      <c r="U56" s="275" t="s">
        <v>527</v>
      </c>
      <c r="V56" s="275"/>
      <c r="W56" s="275"/>
      <c r="X56" s="7"/>
    </row>
    <row r="57" spans="1:24" ht="16.5" customHeight="1" x14ac:dyDescent="0.3">
      <c r="A57" s="176" t="s">
        <v>389</v>
      </c>
      <c r="B57" s="198"/>
      <c r="C57" s="195"/>
      <c r="D57" s="195"/>
      <c r="E57" s="195"/>
      <c r="F57" s="199"/>
      <c r="G57" s="17"/>
      <c r="I57" s="65" t="s">
        <v>500</v>
      </c>
      <c r="J57" s="35">
        <v>0</v>
      </c>
      <c r="K57" s="55" t="s">
        <v>441</v>
      </c>
      <c r="L57" s="36">
        <v>0</v>
      </c>
      <c r="M57" s="39">
        <f t="shared" ref="M57" si="4">IFERROR(J57/(_xlfn.XLOOKUP(K57,$S$33:$S$37,$R$33:$R$37))*L57,0)</f>
        <v>0</v>
      </c>
      <c r="U57" s="230" t="s">
        <v>442</v>
      </c>
      <c r="V57" s="230" t="s">
        <v>528</v>
      </c>
      <c r="W57" s="230" t="s">
        <v>529</v>
      </c>
      <c r="X57" s="7"/>
    </row>
    <row r="58" spans="1:24" ht="16.5" customHeight="1" x14ac:dyDescent="0.3">
      <c r="A58" s="200" t="s">
        <v>394</v>
      </c>
      <c r="B58" s="201"/>
      <c r="C58" s="202"/>
      <c r="D58" s="202"/>
      <c r="E58" s="138">
        <f>E52/E9</f>
        <v>5.6641275116279068</v>
      </c>
      <c r="F58" s="203" t="s">
        <v>395</v>
      </c>
      <c r="G58" s="17"/>
      <c r="U58" s="229">
        <v>5.4</v>
      </c>
      <c r="V58" s="8">
        <v>19</v>
      </c>
      <c r="W58" s="8">
        <v>75.599999999999994</v>
      </c>
      <c r="X58" s="7"/>
    </row>
    <row r="59" spans="1:24" ht="16.5" customHeight="1" thickBot="1" x14ac:dyDescent="0.35">
      <c r="A59" s="204" t="s">
        <v>362</v>
      </c>
      <c r="B59" s="205"/>
      <c r="C59" s="206"/>
      <c r="D59" s="206"/>
      <c r="E59" s="207">
        <f>E52/E8</f>
        <v>279.95112988505747</v>
      </c>
      <c r="F59" s="208" t="s">
        <v>443</v>
      </c>
      <c r="G59" s="17"/>
      <c r="I59" s="271" t="s">
        <v>498</v>
      </c>
      <c r="J59" s="271"/>
      <c r="K59" s="271"/>
      <c r="L59" s="271"/>
      <c r="M59" s="271"/>
      <c r="U59" s="228" t="s">
        <v>530</v>
      </c>
      <c r="V59" s="6"/>
      <c r="W59" s="229">
        <v>1.5</v>
      </c>
      <c r="X59" s="7"/>
    </row>
    <row r="60" spans="1:24" ht="16.5" customHeight="1" x14ac:dyDescent="0.3">
      <c r="A60" s="89"/>
      <c r="B60" s="89"/>
      <c r="C60" s="89"/>
      <c r="D60" s="89"/>
      <c r="E60" s="89"/>
      <c r="F60" s="89"/>
      <c r="G60" s="17"/>
      <c r="I60" s="132" t="s">
        <v>424</v>
      </c>
      <c r="J60" s="132" t="s">
        <v>436</v>
      </c>
      <c r="K60" s="162" t="s">
        <v>434</v>
      </c>
      <c r="L60" s="132" t="s">
        <v>432</v>
      </c>
      <c r="M60" s="93" t="s">
        <v>404</v>
      </c>
      <c r="U60" s="7"/>
      <c r="V60" s="7"/>
      <c r="W60" s="7"/>
      <c r="X60" s="7"/>
    </row>
    <row r="61" spans="1:24" ht="16.5" customHeight="1" x14ac:dyDescent="0.3">
      <c r="A61" s="151" t="s">
        <v>446</v>
      </c>
      <c r="G61" s="17"/>
      <c r="I61" s="100" t="s">
        <v>60</v>
      </c>
      <c r="J61" s="100" t="s">
        <v>60</v>
      </c>
      <c r="K61" s="100" t="s">
        <v>60</v>
      </c>
      <c r="L61" s="100" t="s">
        <v>60</v>
      </c>
      <c r="M61" s="93"/>
      <c r="U61" s="275" t="s">
        <v>531</v>
      </c>
      <c r="V61" s="275"/>
      <c r="W61" s="275"/>
      <c r="X61" s="275"/>
    </row>
    <row r="62" spans="1:24" ht="16.5" customHeight="1" x14ac:dyDescent="0.3">
      <c r="A62" s="151" t="s">
        <v>447</v>
      </c>
      <c r="G62" s="17"/>
      <c r="I62" s="36" t="s">
        <v>582</v>
      </c>
      <c r="J62" s="35">
        <v>312</v>
      </c>
      <c r="K62" s="55" t="s">
        <v>439</v>
      </c>
      <c r="L62" s="36">
        <v>7</v>
      </c>
      <c r="M62" s="39">
        <f>IFERROR(J62/(_xlfn.XLOOKUP(K62,$S$33:$S$37,$R$33:$R$37))*L62,0)</f>
        <v>17.0625</v>
      </c>
      <c r="U62" s="228" t="s">
        <v>0</v>
      </c>
      <c r="V62" s="275" t="s">
        <v>532</v>
      </c>
      <c r="W62" s="275"/>
      <c r="X62" s="228" t="s">
        <v>413</v>
      </c>
    </row>
    <row r="63" spans="1:24" ht="16.5" customHeight="1" x14ac:dyDescent="0.3">
      <c r="A63" s="209"/>
      <c r="B63" s="151"/>
      <c r="C63" s="151"/>
      <c r="D63" s="151"/>
      <c r="E63" s="151"/>
      <c r="F63" s="151"/>
      <c r="G63" s="21"/>
      <c r="I63" s="36" t="s">
        <v>366</v>
      </c>
      <c r="J63" s="35">
        <v>0</v>
      </c>
      <c r="K63" s="55" t="s">
        <v>441</v>
      </c>
      <c r="L63" s="36">
        <v>0</v>
      </c>
      <c r="M63" s="39">
        <f t="shared" ref="M63:M64" si="5">IFERROR(J63/(_xlfn.XLOOKUP(K63,$S$33:$S$37,$R$33:$R$37))*L63,0)</f>
        <v>0</v>
      </c>
      <c r="U63" s="6" t="s">
        <v>533</v>
      </c>
      <c r="V63" s="276" t="s">
        <v>533</v>
      </c>
      <c r="W63" s="276"/>
      <c r="X63" s="6" t="s">
        <v>533</v>
      </c>
    </row>
    <row r="64" spans="1:24" ht="16.5" customHeight="1" x14ac:dyDescent="0.3">
      <c r="A64" s="209"/>
      <c r="B64" s="151"/>
      <c r="C64" s="151"/>
      <c r="D64" s="151"/>
      <c r="E64" s="151"/>
      <c r="F64" s="151"/>
      <c r="G64" s="21"/>
      <c r="I64" s="36" t="s">
        <v>366</v>
      </c>
      <c r="J64" s="35">
        <v>0</v>
      </c>
      <c r="K64" s="55" t="s">
        <v>441</v>
      </c>
      <c r="L64" s="36">
        <v>0</v>
      </c>
      <c r="M64" s="39">
        <f t="shared" si="5"/>
        <v>0</v>
      </c>
      <c r="O64" s="2"/>
      <c r="U64" s="8">
        <v>140</v>
      </c>
      <c r="V64" s="276">
        <v>100</v>
      </c>
      <c r="W64" s="276"/>
      <c r="X64" s="42">
        <v>75</v>
      </c>
    </row>
    <row r="65" spans="1:25" ht="16.5" customHeight="1" x14ac:dyDescent="0.3">
      <c r="G65" s="21"/>
      <c r="J65" s="7"/>
      <c r="K65" s="7"/>
      <c r="L65" s="7"/>
      <c r="O65" s="2"/>
      <c r="U65" s="7"/>
      <c r="V65" s="7"/>
      <c r="W65" s="7"/>
      <c r="X65" s="7"/>
    </row>
    <row r="66" spans="1:25" ht="16.5" customHeight="1" x14ac:dyDescent="0.3">
      <c r="A66" s="211"/>
      <c r="B66" s="146"/>
      <c r="C66" s="146"/>
      <c r="D66" s="146"/>
      <c r="E66" s="146"/>
      <c r="G66" s="21"/>
      <c r="I66" s="10" t="s">
        <v>32</v>
      </c>
      <c r="J66" s="35">
        <v>0</v>
      </c>
      <c r="K66" s="55" t="s">
        <v>441</v>
      </c>
      <c r="L66" s="36">
        <v>0</v>
      </c>
      <c r="M66" s="39">
        <f>IFERROR(J66/(_xlfn.XLOOKUP(K66,$S$33:$S$37,$R$33:$R$37))*L66,0)</f>
        <v>0</v>
      </c>
      <c r="O66" s="2"/>
      <c r="U66" s="228" t="s">
        <v>534</v>
      </c>
      <c r="V66" s="6"/>
      <c r="W66" s="6" t="s">
        <v>572</v>
      </c>
      <c r="X66" s="7"/>
    </row>
    <row r="67" spans="1:25" ht="16.5" customHeight="1" x14ac:dyDescent="0.3">
      <c r="F67" s="146"/>
      <c r="G67" s="21"/>
      <c r="I67" s="10" t="s">
        <v>67</v>
      </c>
      <c r="J67" s="35">
        <v>0</v>
      </c>
      <c r="K67" s="55" t="s">
        <v>441</v>
      </c>
      <c r="L67" s="36">
        <v>0</v>
      </c>
      <c r="M67" s="39">
        <f t="shared" ref="M67:M70" si="6">IFERROR(J67/(_xlfn.XLOOKUP(K67,$S$33:$S$37,$R$33:$R$37))*L67,0)</f>
        <v>0</v>
      </c>
      <c r="O67" s="2"/>
    </row>
    <row r="68" spans="1:25" ht="16.5" customHeight="1" x14ac:dyDescent="0.3">
      <c r="G68" s="21"/>
      <c r="I68" s="10" t="s">
        <v>70</v>
      </c>
      <c r="J68" s="35">
        <v>0</v>
      </c>
      <c r="K68" s="55" t="s">
        <v>441</v>
      </c>
      <c r="L68" s="36">
        <v>0</v>
      </c>
      <c r="M68" s="39">
        <f t="shared" si="6"/>
        <v>0</v>
      </c>
      <c r="O68" s="2"/>
      <c r="U68" s="263" t="s">
        <v>628</v>
      </c>
      <c r="V68" s="263"/>
      <c r="W68" s="263"/>
      <c r="X68" s="263"/>
      <c r="Y68" s="263"/>
    </row>
    <row r="69" spans="1:25" ht="16.5" customHeight="1" x14ac:dyDescent="0.3">
      <c r="G69" s="21"/>
      <c r="I69" s="10" t="s">
        <v>71</v>
      </c>
      <c r="J69" s="35">
        <v>0</v>
      </c>
      <c r="K69" s="55" t="s">
        <v>441</v>
      </c>
      <c r="L69" s="36">
        <v>0</v>
      </c>
      <c r="M69" s="39">
        <f t="shared" si="6"/>
        <v>0</v>
      </c>
      <c r="O69" s="2"/>
      <c r="U69" s="263"/>
      <c r="V69" s="263"/>
      <c r="W69" s="263"/>
      <c r="X69" s="263"/>
      <c r="Y69" s="263"/>
    </row>
    <row r="70" spans="1:25" ht="16.5" customHeight="1" x14ac:dyDescent="0.3">
      <c r="G70" s="21"/>
      <c r="I70" s="10" t="s">
        <v>69</v>
      </c>
      <c r="J70" s="35">
        <v>0</v>
      </c>
      <c r="K70" s="55" t="s">
        <v>441</v>
      </c>
      <c r="L70" s="36">
        <v>0</v>
      </c>
      <c r="M70" s="39">
        <f t="shared" si="6"/>
        <v>0</v>
      </c>
      <c r="O70" s="2"/>
      <c r="U70" s="263"/>
      <c r="V70" s="263"/>
      <c r="W70" s="263"/>
      <c r="X70" s="263"/>
      <c r="Y70" s="263"/>
    </row>
    <row r="71" spans="1:25" ht="16.5" customHeight="1" x14ac:dyDescent="0.3">
      <c r="G71" s="21"/>
      <c r="I71" s="10" t="s">
        <v>499</v>
      </c>
      <c r="J71" s="35">
        <v>21</v>
      </c>
      <c r="K71" s="55" t="s">
        <v>440</v>
      </c>
      <c r="L71" s="36">
        <v>0.2</v>
      </c>
      <c r="M71" s="39">
        <f>IFERROR(J71/(_xlfn.XLOOKUP(K71,$S$33:$S$37,$R$33:$R$37))*L71,0)</f>
        <v>1.05</v>
      </c>
    </row>
    <row r="72" spans="1:25" ht="16.5" customHeight="1" x14ac:dyDescent="0.3">
      <c r="G72" s="21"/>
      <c r="I72" s="65" t="s">
        <v>500</v>
      </c>
      <c r="J72" s="35">
        <v>0</v>
      </c>
      <c r="K72" s="55" t="s">
        <v>441</v>
      </c>
      <c r="L72" s="36">
        <v>0</v>
      </c>
      <c r="M72" s="39">
        <f t="shared" ref="M72" si="7">IFERROR(J72/(_xlfn.XLOOKUP(K72,$S$33:$S$37,$R$33:$R$37))*L72,0)</f>
        <v>0</v>
      </c>
    </row>
    <row r="73" spans="1:25" ht="16.5" customHeight="1" x14ac:dyDescent="0.3">
      <c r="G73" s="21"/>
    </row>
    <row r="74" spans="1:25" ht="16.5" customHeight="1" x14ac:dyDescent="0.3">
      <c r="G74" s="21"/>
      <c r="I74" s="132" t="s">
        <v>625</v>
      </c>
      <c r="J74" s="132" t="s">
        <v>627</v>
      </c>
      <c r="K74" s="162"/>
      <c r="L74" s="132" t="s">
        <v>626</v>
      </c>
      <c r="M74" s="93" t="s">
        <v>404</v>
      </c>
    </row>
    <row r="75" spans="1:25" ht="16.5" customHeight="1" x14ac:dyDescent="0.3">
      <c r="G75" s="21"/>
      <c r="I75" s="117" t="s">
        <v>629</v>
      </c>
      <c r="J75" s="35">
        <v>6.65</v>
      </c>
      <c r="K75" s="37"/>
      <c r="L75" s="36">
        <v>1</v>
      </c>
      <c r="M75" s="39">
        <f>J75*L75</f>
        <v>6.65</v>
      </c>
    </row>
    <row r="76" spans="1:25" ht="16.5" customHeight="1" x14ac:dyDescent="0.3">
      <c r="G76" s="21"/>
      <c r="I76" s="117" t="s">
        <v>168</v>
      </c>
      <c r="J76" s="35">
        <v>10</v>
      </c>
      <c r="K76" s="37"/>
      <c r="L76" s="36">
        <v>0</v>
      </c>
      <c r="M76" s="39">
        <f>J76*L76</f>
        <v>0</v>
      </c>
      <c r="N76" s="44"/>
    </row>
    <row r="77" spans="1:25" ht="16.5" customHeight="1" x14ac:dyDescent="0.3">
      <c r="G77" s="21"/>
      <c r="N77" s="37"/>
    </row>
    <row r="78" spans="1:25" ht="16.5" customHeight="1" x14ac:dyDescent="0.3">
      <c r="G78" s="21"/>
      <c r="L78" s="152" t="s">
        <v>431</v>
      </c>
      <c r="M78" s="153">
        <f>SUM(M45:M76)</f>
        <v>73.259375000000006</v>
      </c>
    </row>
    <row r="79" spans="1:25" ht="16.5" customHeight="1" x14ac:dyDescent="0.3">
      <c r="G79" s="21"/>
    </row>
    <row r="80" spans="1:25" ht="16.5" customHeight="1" x14ac:dyDescent="0.3">
      <c r="G80" s="21"/>
    </row>
    <row r="81" spans="7:13" ht="16.5" customHeight="1" x14ac:dyDescent="0.3">
      <c r="G81" s="21"/>
    </row>
    <row r="82" spans="7:13" ht="16.5" customHeight="1" x14ac:dyDescent="0.3">
      <c r="G82" s="21"/>
    </row>
    <row r="83" spans="7:13" ht="16.5" customHeight="1" x14ac:dyDescent="0.3">
      <c r="G83" s="21"/>
    </row>
    <row r="84" spans="7:13" ht="16.5" customHeight="1" x14ac:dyDescent="0.3">
      <c r="G84" s="21"/>
      <c r="I84" s="44"/>
      <c r="J84" s="44"/>
      <c r="K84" s="44"/>
      <c r="L84" s="44"/>
      <c r="M84" s="44"/>
    </row>
    <row r="85" spans="7:13" ht="16.5" customHeight="1" x14ac:dyDescent="0.3">
      <c r="G85" s="21"/>
      <c r="I85" s="44"/>
      <c r="J85" s="44"/>
      <c r="K85" s="44"/>
      <c r="L85" s="44"/>
      <c r="M85" s="44"/>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2"/>
    </row>
    <row r="110" spans="7:7" ht="16.5" hidden="1" customHeight="1" x14ac:dyDescent="0.3">
      <c r="G110" s="212"/>
    </row>
    <row r="111" spans="7:7" ht="8.1" hidden="1" customHeight="1" x14ac:dyDescent="0.3">
      <c r="G111" s="212"/>
    </row>
    <row r="112" spans="7:7" ht="16.5" hidden="1" customHeight="1" x14ac:dyDescent="0.3">
      <c r="G112" s="212"/>
    </row>
    <row r="113" spans="1:7" ht="16.5" hidden="1" customHeight="1" x14ac:dyDescent="0.3">
      <c r="G113" s="212"/>
    </row>
    <row r="114" spans="1:7" ht="16.5" hidden="1" customHeight="1" x14ac:dyDescent="0.3">
      <c r="G114" s="212"/>
    </row>
    <row r="115" spans="1:7" ht="6.75" hidden="1" customHeight="1" x14ac:dyDescent="0.3">
      <c r="G115" s="213"/>
    </row>
    <row r="116" spans="1:7" ht="16.5" hidden="1" customHeight="1" x14ac:dyDescent="0.3">
      <c r="G116" s="213"/>
    </row>
    <row r="117" spans="1:7" ht="16.5" hidden="1" customHeight="1" x14ac:dyDescent="0.3">
      <c r="G117" s="213"/>
    </row>
    <row r="118" spans="1:7" ht="16.5" hidden="1" customHeight="1" x14ac:dyDescent="0.35">
      <c r="A118" s="214"/>
      <c r="B118" s="215"/>
      <c r="C118" s="215"/>
      <c r="D118" s="215"/>
      <c r="E118" s="215"/>
      <c r="G118" s="213"/>
    </row>
    <row r="119" spans="1:7" ht="16.5" hidden="1" customHeight="1" x14ac:dyDescent="0.35">
      <c r="F119" s="215"/>
      <c r="G119" s="201"/>
    </row>
    <row r="120" spans="1:7" ht="16.5" hidden="1" customHeight="1" x14ac:dyDescent="0.3">
      <c r="G120" s="216"/>
    </row>
    <row r="121" spans="1:7" ht="16.5" hidden="1" customHeight="1" x14ac:dyDescent="0.3">
      <c r="G121" s="201"/>
    </row>
    <row r="122" spans="1:7" ht="16.5" hidden="1" customHeight="1" x14ac:dyDescent="0.3">
      <c r="G122" s="217"/>
    </row>
    <row r="123" spans="1:7" ht="16.5" hidden="1" customHeight="1" x14ac:dyDescent="0.3">
      <c r="G123" s="218"/>
    </row>
    <row r="124" spans="1:7" ht="16.5" hidden="1" customHeight="1" x14ac:dyDescent="0.3">
      <c r="G124" s="219"/>
    </row>
    <row r="125" spans="1:7" ht="16.5" hidden="1" customHeight="1" x14ac:dyDescent="0.3">
      <c r="G125" s="218"/>
    </row>
    <row r="126" spans="1:7" ht="16.5" hidden="1" customHeight="1" x14ac:dyDescent="0.3">
      <c r="G126" s="219"/>
    </row>
    <row r="127" spans="1:7" ht="16.5" hidden="1" customHeight="1" x14ac:dyDescent="0.3">
      <c r="G127" s="220"/>
    </row>
    <row r="128" spans="1:7" ht="16.5" hidden="1" customHeight="1" x14ac:dyDescent="0.3">
      <c r="G128" s="213"/>
    </row>
    <row r="129" spans="7:7" ht="18.75" hidden="1" customHeight="1" x14ac:dyDescent="0.3">
      <c r="G129" s="66"/>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6"/>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pans="9:13" s="210" customFormat="1" hidden="1" x14ac:dyDescent="0.3">
      <c r="I145" s="10"/>
      <c r="J145" s="10"/>
      <c r="K145" s="10"/>
      <c r="L145" s="10"/>
      <c r="M145" s="10"/>
    </row>
    <row r="146" spans="9:13" s="210" customFormat="1" hidden="1" x14ac:dyDescent="0.3">
      <c r="I146" s="10"/>
      <c r="J146" s="10"/>
      <c r="K146" s="10"/>
      <c r="L146" s="10"/>
      <c r="M146" s="10"/>
    </row>
    <row r="147" spans="9:13" s="210" customFormat="1" hidden="1" x14ac:dyDescent="0.3">
      <c r="I147" s="10"/>
      <c r="J147" s="10"/>
      <c r="K147" s="10"/>
      <c r="L147" s="10"/>
      <c r="M147" s="10"/>
    </row>
    <row r="148" spans="9:13" s="210" customFormat="1" hidden="1" x14ac:dyDescent="0.3">
      <c r="I148" s="10"/>
      <c r="J148" s="10"/>
      <c r="K148" s="10"/>
      <c r="L148" s="10"/>
      <c r="M148" s="10"/>
    </row>
    <row r="149" spans="9:13" s="210" customFormat="1" hidden="1" x14ac:dyDescent="0.3">
      <c r="I149" s="10"/>
      <c r="J149" s="10"/>
      <c r="K149" s="10"/>
      <c r="L149" s="10"/>
      <c r="M149" s="10"/>
    </row>
    <row r="150" spans="9:13" s="210" customFormat="1" hidden="1" x14ac:dyDescent="0.3">
      <c r="I150" s="10"/>
      <c r="J150" s="10"/>
      <c r="K150" s="10"/>
      <c r="L150" s="10"/>
      <c r="M150" s="10"/>
    </row>
    <row r="151" spans="9:13" s="210" customFormat="1" hidden="1" x14ac:dyDescent="0.3"/>
    <row r="152" spans="9:13" s="210" customFormat="1" hidden="1" x14ac:dyDescent="0.3"/>
    <row r="153" spans="9:13" s="210" customFormat="1" hidden="1" x14ac:dyDescent="0.3"/>
    <row r="154" spans="9:13" s="210" customFormat="1" hidden="1" x14ac:dyDescent="0.3"/>
    <row r="155" spans="9:13" s="210" customFormat="1" hidden="1" x14ac:dyDescent="0.3"/>
    <row r="156" spans="9:13" s="210" customFormat="1" hidden="1" x14ac:dyDescent="0.3"/>
    <row r="157" spans="9:13" s="210" customFormat="1" hidden="1" x14ac:dyDescent="0.3"/>
    <row r="158" spans="9:13" s="210" customFormat="1" hidden="1" x14ac:dyDescent="0.3"/>
    <row r="159" spans="9:13" s="210" customFormat="1" hidden="1" x14ac:dyDescent="0.3"/>
    <row r="160" spans="9:13" s="210" customFormat="1" hidden="1" x14ac:dyDescent="0.3"/>
    <row r="161" s="210" customFormat="1" hidden="1" x14ac:dyDescent="0.3"/>
    <row r="162" s="210" customFormat="1" hidden="1" x14ac:dyDescent="0.3"/>
    <row r="163" s="210" customFormat="1" hidden="1" x14ac:dyDescent="0.3"/>
    <row r="164" s="210" customFormat="1" hidden="1" x14ac:dyDescent="0.3"/>
    <row r="165" s="210" customFormat="1" hidden="1" x14ac:dyDescent="0.3"/>
    <row r="166" s="210" customFormat="1" hidden="1" x14ac:dyDescent="0.3"/>
    <row r="167" s="210" customFormat="1" hidden="1" x14ac:dyDescent="0.3"/>
    <row r="168" s="210" customFormat="1" hidden="1" x14ac:dyDescent="0.3"/>
    <row r="169" s="210" customFormat="1" hidden="1" x14ac:dyDescent="0.3"/>
    <row r="170" s="210" customFormat="1" hidden="1" x14ac:dyDescent="0.3"/>
    <row r="171" s="210" customFormat="1" hidden="1" x14ac:dyDescent="0.3"/>
    <row r="172" s="210" customFormat="1" hidden="1" x14ac:dyDescent="0.3"/>
    <row r="173" s="210" customFormat="1" hidden="1" x14ac:dyDescent="0.3"/>
    <row r="174" s="210" customFormat="1" hidden="1" x14ac:dyDescent="0.3"/>
    <row r="175" s="210" customFormat="1" hidden="1" x14ac:dyDescent="0.3"/>
    <row r="176" s="210" customFormat="1" hidden="1" x14ac:dyDescent="0.3"/>
    <row r="177" spans="9:13" s="210" customFormat="1" hidden="1" x14ac:dyDescent="0.3"/>
    <row r="178" spans="9:13" s="210" customFormat="1" hidden="1" x14ac:dyDescent="0.3"/>
    <row r="179" spans="9:13" s="210" customFormat="1" hidden="1" x14ac:dyDescent="0.3"/>
    <row r="180" spans="9:13" s="210" customFormat="1" hidden="1" x14ac:dyDescent="0.3"/>
    <row r="181" spans="9:13" s="210" customFormat="1" hidden="1" x14ac:dyDescent="0.3"/>
    <row r="182" spans="9:13" s="210" customFormat="1" hidden="1" x14ac:dyDescent="0.3"/>
    <row r="183" spans="9:13" s="210" customFormat="1" hidden="1" x14ac:dyDescent="0.3"/>
    <row r="184" spans="9:13" s="210" customFormat="1" hidden="1" x14ac:dyDescent="0.3"/>
    <row r="185" spans="9:13" s="210" customFormat="1" hidden="1" x14ac:dyDescent="0.3"/>
    <row r="186" spans="9:13" s="210" customFormat="1" hidden="1" x14ac:dyDescent="0.3"/>
    <row r="187" spans="9:13" s="210" customFormat="1" hidden="1" x14ac:dyDescent="0.3"/>
    <row r="188" spans="9:13" s="210" customFormat="1" hidden="1" x14ac:dyDescent="0.3"/>
    <row r="189" spans="9:13" x14ac:dyDescent="0.3">
      <c r="I189" s="210"/>
      <c r="J189" s="210"/>
      <c r="K189" s="210"/>
      <c r="L189" s="210"/>
      <c r="M189" s="210"/>
    </row>
    <row r="190" spans="9:13" x14ac:dyDescent="0.3">
      <c r="I190" s="210"/>
      <c r="J190" s="210"/>
      <c r="K190" s="210"/>
      <c r="L190" s="210"/>
      <c r="M190" s="210"/>
    </row>
    <row r="191" spans="9:13" x14ac:dyDescent="0.3">
      <c r="I191" s="210"/>
      <c r="J191" s="210"/>
      <c r="K191" s="210"/>
      <c r="L191" s="210"/>
      <c r="M191" s="210"/>
    </row>
    <row r="192" spans="9:13" x14ac:dyDescent="0.3">
      <c r="I192" s="210"/>
      <c r="J192" s="210"/>
      <c r="K192" s="210"/>
      <c r="L192" s="210"/>
      <c r="M192" s="210"/>
    </row>
    <row r="193" spans="9:13" x14ac:dyDescent="0.3">
      <c r="I193" s="210"/>
      <c r="J193" s="210"/>
      <c r="K193" s="210"/>
      <c r="L193" s="210"/>
      <c r="M193" s="210"/>
    </row>
    <row r="194" spans="9:13" x14ac:dyDescent="0.3">
      <c r="I194" s="210"/>
      <c r="J194" s="210"/>
      <c r="K194" s="210"/>
      <c r="L194" s="210"/>
      <c r="M194" s="210"/>
    </row>
  </sheetData>
  <sheetProtection sheet="1" objects="1" scenarios="1"/>
  <mergeCells count="21">
    <mergeCell ref="U68:Y70"/>
    <mergeCell ref="I10:M10"/>
    <mergeCell ref="U10:Y13"/>
    <mergeCell ref="A1:F3"/>
    <mergeCell ref="T2:Y2"/>
    <mergeCell ref="I4:M4"/>
    <mergeCell ref="E5:F5"/>
    <mergeCell ref="E6:F6"/>
    <mergeCell ref="V64:W64"/>
    <mergeCell ref="A14:A15"/>
    <mergeCell ref="B14:B15"/>
    <mergeCell ref="U15:Y15"/>
    <mergeCell ref="U26:Y27"/>
    <mergeCell ref="I40:M40"/>
    <mergeCell ref="U37:Y42"/>
    <mergeCell ref="I42:M42"/>
    <mergeCell ref="I59:M59"/>
    <mergeCell ref="U56:W56"/>
    <mergeCell ref="U61:X61"/>
    <mergeCell ref="V62:W62"/>
    <mergeCell ref="V63:W63"/>
  </mergeCells>
  <conditionalFormatting sqref="E53">
    <cfRule type="expression" dxfId="1" priority="1">
      <formula>$E$53&lt;0</formula>
    </cfRule>
  </conditionalFormatting>
  <conditionalFormatting sqref="F19:F39">
    <cfRule type="dataBar" priority="3">
      <dataBar showValue="0">
        <cfvo type="min"/>
        <cfvo type="max"/>
        <color rgb="FF63C384"/>
      </dataBar>
      <extLst>
        <ext xmlns:x14="http://schemas.microsoft.com/office/spreadsheetml/2009/9/main" uri="{B025F937-C7B1-47D3-B67F-A62EFF666E3E}">
          <x14:id>{D567CB8D-BD89-4FDF-8773-DDAF36A9E029}</x14:id>
        </ext>
      </extLst>
    </cfRule>
  </conditionalFormatting>
  <conditionalFormatting sqref="F44:F51">
    <cfRule type="dataBar" priority="2">
      <dataBar showValue="0">
        <cfvo type="min"/>
        <cfvo type="max"/>
        <color rgb="FF63C384"/>
      </dataBar>
      <extLst>
        <ext xmlns:x14="http://schemas.microsoft.com/office/spreadsheetml/2009/9/main" uri="{B025F937-C7B1-47D3-B67F-A62EFF666E3E}">
          <x14:id>{90FDDAC2-AA43-419A-94F8-393D23B383E6}</x14:id>
        </ext>
      </extLst>
    </cfRule>
  </conditionalFormatting>
  <dataValidations count="1">
    <dataValidation type="list" allowBlank="1" showInputMessage="1" showErrorMessage="1" sqref="K45:K49 K51:K57 K66:K72 K62:K64" xr:uid="{B8C1AB0A-104D-4DFC-8D39-346B812352A1}">
      <formula1>$S$33:$S$37</formula1>
    </dataValidation>
  </dataValidations>
  <hyperlinks>
    <hyperlink ref="U8" r:id="rId1" xr:uid="{AB16D93C-1B24-41C5-BFDC-F90EAB58F3F3}"/>
    <hyperlink ref="U5" r:id="rId2" xr:uid="{8BF6E695-B192-4872-83A0-C09C4D16ECB7}"/>
  </hyperlinks>
  <printOptions horizontalCentered="1"/>
  <pageMargins left="0.25" right="0.25" top="0.5" bottom="0.5" header="0.5" footer="0.5"/>
  <pageSetup scale="74" orientation="portrait" r:id="rId3"/>
  <drawing r:id="rId4"/>
  <extLst>
    <ext xmlns:x14="http://schemas.microsoft.com/office/spreadsheetml/2009/9/main" uri="{78C0D931-6437-407d-A8EE-F0AAD7539E65}">
      <x14:conditionalFormattings>
        <x14:conditionalFormatting xmlns:xm="http://schemas.microsoft.com/office/excel/2006/main">
          <x14:cfRule type="dataBar" id="{D567CB8D-BD89-4FDF-8773-DDAF36A9E029}">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90FDDAC2-AA43-419A-94F8-393D23B383E6}">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01EE-6BC4-4BFE-AC31-B7A29AA701E8}">
  <sheetPr>
    <tabColor rgb="FF92D050"/>
    <pageSetUpPr fitToPage="1"/>
  </sheetPr>
  <dimension ref="A1:Y194"/>
  <sheetViews>
    <sheetView zoomScale="80" zoomScaleNormal="80" workbookViewId="0">
      <selection activeCell="E8" sqref="E8"/>
    </sheetView>
  </sheetViews>
  <sheetFormatPr defaultColWidth="9.140625" defaultRowHeight="18.75" x14ac:dyDescent="0.3"/>
  <cols>
    <col min="1" max="1" width="50" style="210" customWidth="1"/>
    <col min="2" max="2" width="2.42578125" style="10" customWidth="1"/>
    <col min="3" max="3" width="14.7109375" style="10" bestFit="1" customWidth="1"/>
    <col min="4" max="4" width="2.85546875" style="10" customWidth="1"/>
    <col min="5" max="5" width="15.42578125" style="10" bestFit="1" customWidth="1"/>
    <col min="6" max="6" width="16.7109375" style="10" customWidth="1"/>
    <col min="7" max="7" width="8.85546875" style="10" customWidth="1"/>
    <col min="8" max="8" width="9.140625" style="10"/>
    <col min="9" max="9" width="32.85546875" style="10" bestFit="1" customWidth="1"/>
    <col min="10" max="10" width="18.5703125" style="10" bestFit="1" customWidth="1"/>
    <col min="11" max="11" width="16.7109375" style="10" bestFit="1" customWidth="1"/>
    <col min="12" max="12" width="17.85546875" style="10" bestFit="1" customWidth="1"/>
    <col min="13" max="13" width="17.5703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85546875" style="10" bestFit="1" customWidth="1"/>
    <col min="22" max="24" width="9.42578125" style="10" bestFit="1" customWidth="1"/>
    <col min="25" max="25" width="29.28515625" style="10" bestFit="1" customWidth="1"/>
    <col min="26" max="16384" width="9.140625" style="10"/>
  </cols>
  <sheetData>
    <row r="1" spans="1:25" ht="21.75" customHeight="1" x14ac:dyDescent="0.3">
      <c r="A1" s="248" t="s">
        <v>444</v>
      </c>
      <c r="B1" s="249"/>
      <c r="C1" s="249"/>
      <c r="D1" s="249"/>
      <c r="E1" s="249"/>
      <c r="F1" s="250"/>
      <c r="G1" s="86"/>
    </row>
    <row r="2" spans="1:25" ht="15.75" customHeight="1" x14ac:dyDescent="0.3">
      <c r="A2" s="251"/>
      <c r="B2" s="252"/>
      <c r="C2" s="252"/>
      <c r="D2" s="252"/>
      <c r="E2" s="252"/>
      <c r="F2" s="253"/>
      <c r="G2" s="86"/>
      <c r="T2" s="265" t="s">
        <v>545</v>
      </c>
      <c r="U2" s="266"/>
      <c r="V2" s="266"/>
      <c r="W2" s="266"/>
      <c r="X2" s="266"/>
      <c r="Y2" s="267"/>
    </row>
    <row r="3" spans="1:25" ht="15.75" customHeight="1" thickBot="1" x14ac:dyDescent="0.35">
      <c r="A3" s="254"/>
      <c r="B3" s="255"/>
      <c r="C3" s="255"/>
      <c r="D3" s="255"/>
      <c r="E3" s="255"/>
      <c r="F3" s="256"/>
      <c r="G3" s="86"/>
    </row>
    <row r="4" spans="1:25" ht="19.5" thickBot="1" x14ac:dyDescent="0.35">
      <c r="A4" s="87"/>
      <c r="B4" s="88"/>
      <c r="C4" s="89"/>
      <c r="D4" s="89"/>
      <c r="E4" s="89"/>
      <c r="F4" s="90"/>
      <c r="G4" s="86"/>
      <c r="I4" s="265" t="s">
        <v>418</v>
      </c>
      <c r="J4" s="266"/>
      <c r="K4" s="266"/>
      <c r="L4" s="266"/>
      <c r="M4" s="267"/>
      <c r="U4" s="10" t="s">
        <v>493</v>
      </c>
    </row>
    <row r="5" spans="1:25" ht="21.75" thickBot="1" x14ac:dyDescent="0.35">
      <c r="A5" s="91"/>
      <c r="B5" s="92"/>
      <c r="C5" s="92"/>
      <c r="D5" s="92"/>
      <c r="E5" s="261" t="s">
        <v>552</v>
      </c>
      <c r="F5" s="262"/>
      <c r="G5" s="86"/>
      <c r="I5" s="93" t="s">
        <v>549</v>
      </c>
      <c r="J5" s="94" t="s">
        <v>402</v>
      </c>
      <c r="K5" s="94" t="s">
        <v>403</v>
      </c>
      <c r="L5" s="93"/>
      <c r="M5" s="93" t="s">
        <v>404</v>
      </c>
      <c r="U5" s="95" t="s">
        <v>496</v>
      </c>
    </row>
    <row r="6" spans="1:25" ht="19.5" customHeight="1" x14ac:dyDescent="0.3">
      <c r="A6" s="96" t="s">
        <v>59</v>
      </c>
      <c r="B6" s="97"/>
      <c r="D6" s="98"/>
      <c r="E6" s="268" t="s">
        <v>589</v>
      </c>
      <c r="F6" s="269"/>
      <c r="G6" s="86"/>
      <c r="I6" s="100" t="s">
        <v>60</v>
      </c>
      <c r="J6" s="100" t="s">
        <v>60</v>
      </c>
      <c r="K6" s="100" t="s">
        <v>60</v>
      </c>
      <c r="L6" s="100"/>
      <c r="M6" s="2"/>
    </row>
    <row r="7" spans="1:25" ht="16.5" customHeight="1" x14ac:dyDescent="0.3">
      <c r="A7" s="101" t="s">
        <v>290</v>
      </c>
      <c r="B7" s="102"/>
      <c r="D7" s="98"/>
      <c r="E7" s="103"/>
      <c r="F7" s="99"/>
      <c r="G7" s="86"/>
      <c r="I7" s="35">
        <v>350</v>
      </c>
      <c r="J7" s="36">
        <v>80000</v>
      </c>
      <c r="K7" s="36">
        <v>35700</v>
      </c>
      <c r="L7" s="100"/>
      <c r="M7" s="45">
        <f>I7/J7*K7</f>
        <v>156.18750000000003</v>
      </c>
      <c r="U7" s="10" t="s">
        <v>494</v>
      </c>
    </row>
    <row r="8" spans="1:25" ht="16.5" customHeight="1" x14ac:dyDescent="0.3">
      <c r="A8" s="104" t="s">
        <v>550</v>
      </c>
      <c r="B8" s="105"/>
      <c r="C8" s="106"/>
      <c r="D8" s="107"/>
      <c r="E8" s="67">
        <v>4.3499999999999996</v>
      </c>
      <c r="F8" s="30"/>
      <c r="G8" s="108"/>
      <c r="U8" s="95" t="s">
        <v>495</v>
      </c>
    </row>
    <row r="9" spans="1:25" ht="16.5" customHeight="1" x14ac:dyDescent="0.3">
      <c r="A9" s="109" t="s">
        <v>551</v>
      </c>
      <c r="B9" s="105"/>
      <c r="C9" s="110"/>
      <c r="D9" s="111"/>
      <c r="E9" s="68">
        <v>245</v>
      </c>
      <c r="F9" s="99" t="s">
        <v>391</v>
      </c>
      <c r="G9" s="112"/>
    </row>
    <row r="10" spans="1:25" ht="16.5" customHeight="1" x14ac:dyDescent="0.3">
      <c r="A10" s="104" t="s">
        <v>54</v>
      </c>
      <c r="B10" s="105"/>
      <c r="C10" s="110"/>
      <c r="D10" s="111"/>
      <c r="E10" s="71">
        <v>1</v>
      </c>
      <c r="F10" s="99" t="s">
        <v>54</v>
      </c>
      <c r="G10" s="113"/>
      <c r="I10" s="265" t="s">
        <v>407</v>
      </c>
      <c r="J10" s="266"/>
      <c r="K10" s="266"/>
      <c r="L10" s="266"/>
      <c r="M10" s="267"/>
      <c r="U10" s="263" t="s">
        <v>501</v>
      </c>
      <c r="V10" s="264"/>
      <c r="W10" s="264"/>
      <c r="X10" s="264"/>
      <c r="Y10" s="264"/>
    </row>
    <row r="11" spans="1:25" ht="16.5" hidden="1" customHeight="1" x14ac:dyDescent="0.3">
      <c r="A11" s="104"/>
      <c r="B11" s="114"/>
      <c r="C11" s="110"/>
      <c r="D11" s="111"/>
      <c r="E11" s="115"/>
      <c r="F11" s="99"/>
      <c r="G11" s="113"/>
      <c r="U11" s="264"/>
      <c r="V11" s="264"/>
      <c r="W11" s="264"/>
      <c r="X11" s="264"/>
      <c r="Y11" s="264"/>
    </row>
    <row r="12" spans="1:25" ht="16.5" hidden="1" customHeight="1" x14ac:dyDescent="0.3">
      <c r="A12" s="116" t="s">
        <v>371</v>
      </c>
      <c r="B12" s="117"/>
      <c r="C12" s="118"/>
      <c r="D12" s="119"/>
      <c r="E12" s="120">
        <v>0</v>
      </c>
      <c r="F12" s="121"/>
      <c r="G12" s="122"/>
      <c r="U12" s="264"/>
      <c r="V12" s="264"/>
      <c r="W12" s="264"/>
      <c r="X12" s="264"/>
      <c r="Y12" s="264"/>
    </row>
    <row r="13" spans="1:25" ht="16.5" customHeight="1" x14ac:dyDescent="0.3">
      <c r="A13" s="104"/>
      <c r="B13" s="123"/>
      <c r="C13" s="124"/>
      <c r="D13" s="125"/>
      <c r="E13" s="126"/>
      <c r="F13" s="99"/>
      <c r="G13" s="113"/>
      <c r="U13" s="264"/>
      <c r="V13" s="264"/>
      <c r="W13" s="264"/>
      <c r="X13" s="264"/>
      <c r="Y13" s="264"/>
    </row>
    <row r="14" spans="1:25" ht="16.5" customHeight="1" x14ac:dyDescent="0.3">
      <c r="A14" s="257" t="s">
        <v>291</v>
      </c>
      <c r="B14" s="259"/>
      <c r="C14" s="124"/>
      <c r="D14" s="128"/>
      <c r="E14" s="129" t="s">
        <v>35</v>
      </c>
      <c r="F14" s="130"/>
      <c r="G14" s="131"/>
      <c r="I14" s="132" t="s">
        <v>424</v>
      </c>
      <c r="J14" s="132" t="s">
        <v>425</v>
      </c>
      <c r="K14" s="132" t="s">
        <v>434</v>
      </c>
      <c r="L14" s="132" t="s">
        <v>432</v>
      </c>
      <c r="M14" s="93" t="s">
        <v>404</v>
      </c>
    </row>
    <row r="15" spans="1:25" ht="16.5" customHeight="1" thickBot="1" x14ac:dyDescent="0.35">
      <c r="A15" s="258"/>
      <c r="B15" s="260"/>
      <c r="C15" s="34"/>
      <c r="D15" s="33"/>
      <c r="E15" s="24">
        <f>(E8*E9)+E12</f>
        <v>1065.75</v>
      </c>
      <c r="F15" s="31"/>
      <c r="G15" s="29"/>
      <c r="I15" s="132"/>
      <c r="J15" s="100" t="s">
        <v>60</v>
      </c>
      <c r="K15" s="132"/>
      <c r="L15" s="100" t="s">
        <v>60</v>
      </c>
      <c r="M15" s="93"/>
      <c r="U15" s="272" t="s">
        <v>453</v>
      </c>
      <c r="V15" s="273"/>
      <c r="W15" s="273"/>
      <c r="X15" s="273"/>
      <c r="Y15" s="274"/>
    </row>
    <row r="16" spans="1:25" ht="16.5" customHeight="1" thickTop="1" x14ac:dyDescent="0.3">
      <c r="A16" s="104"/>
      <c r="B16" s="105"/>
      <c r="C16" s="133" t="s">
        <v>445</v>
      </c>
      <c r="D16" s="133"/>
      <c r="E16" s="134"/>
      <c r="F16" s="135"/>
      <c r="G16" s="112"/>
      <c r="I16" s="136" t="s">
        <v>578</v>
      </c>
      <c r="J16" s="35">
        <v>513</v>
      </c>
      <c r="K16" s="37" t="s">
        <v>3</v>
      </c>
      <c r="L16" s="36">
        <v>55</v>
      </c>
      <c r="M16" s="39">
        <f>'Fertilizer (Push Irrigated)'!J5</f>
        <v>150.52702500000001</v>
      </c>
      <c r="U16" s="10" t="s">
        <v>454</v>
      </c>
      <c r="Y16" s="54" t="s">
        <v>455</v>
      </c>
    </row>
    <row r="17" spans="1:25" ht="16.5" customHeight="1" x14ac:dyDescent="0.3">
      <c r="A17" s="137" t="s">
        <v>252</v>
      </c>
      <c r="B17" s="138"/>
      <c r="C17" s="139" t="s">
        <v>392</v>
      </c>
      <c r="D17" s="133"/>
      <c r="E17" s="140"/>
      <c r="F17" s="141"/>
      <c r="G17" s="112"/>
      <c r="I17" s="136" t="s">
        <v>576</v>
      </c>
      <c r="J17" s="35">
        <v>1100</v>
      </c>
      <c r="K17" s="37" t="s">
        <v>435</v>
      </c>
      <c r="L17" s="36">
        <v>0</v>
      </c>
      <c r="M17" s="39">
        <f>'Fertilizer (Push Irrigated)'!J6</f>
        <v>0</v>
      </c>
      <c r="T17" s="54"/>
      <c r="U17" s="37" t="s">
        <v>51</v>
      </c>
      <c r="V17" s="37" t="s">
        <v>52</v>
      </c>
      <c r="W17" s="37" t="s">
        <v>442</v>
      </c>
      <c r="X17" s="37" t="s">
        <v>53</v>
      </c>
      <c r="Y17" s="100" t="s">
        <v>477</v>
      </c>
    </row>
    <row r="18" spans="1:25" ht="16.5" customHeight="1" x14ac:dyDescent="0.3">
      <c r="A18" s="142" t="s">
        <v>372</v>
      </c>
      <c r="B18" s="138"/>
      <c r="C18" s="139" t="s">
        <v>393</v>
      </c>
      <c r="D18" s="133"/>
      <c r="E18" s="143" t="s">
        <v>35</v>
      </c>
      <c r="F18" s="144"/>
      <c r="G18" s="112"/>
      <c r="I18" s="136" t="s">
        <v>451</v>
      </c>
      <c r="J18" s="35">
        <v>550</v>
      </c>
      <c r="K18" s="37" t="s">
        <v>3</v>
      </c>
      <c r="L18" s="36">
        <v>0</v>
      </c>
      <c r="M18" s="39">
        <f>'Fertilizer (Push Irrigated)'!J7</f>
        <v>0</v>
      </c>
      <c r="T18" s="100" t="s">
        <v>478</v>
      </c>
      <c r="U18" s="60">
        <v>0</v>
      </c>
      <c r="V18" s="60">
        <v>0</v>
      </c>
      <c r="W18" s="60">
        <v>0</v>
      </c>
      <c r="X18" s="60">
        <v>0</v>
      </c>
      <c r="Y18" s="61" t="s">
        <v>464</v>
      </c>
    </row>
    <row r="19" spans="1:25" ht="16.5" customHeight="1" x14ac:dyDescent="0.3">
      <c r="A19" s="127" t="s">
        <v>36</v>
      </c>
      <c r="B19" s="105"/>
      <c r="C19" s="74" t="s">
        <v>590</v>
      </c>
      <c r="D19" s="26"/>
      <c r="E19" s="145">
        <f>M7</f>
        <v>156.18750000000003</v>
      </c>
      <c r="F19" s="32">
        <f t="shared" ref="F19:F39" si="0">E19</f>
        <v>156.18750000000003</v>
      </c>
      <c r="G19" s="131"/>
      <c r="I19" s="37" t="s">
        <v>426</v>
      </c>
      <c r="J19" s="35">
        <v>853</v>
      </c>
      <c r="K19" s="37" t="s">
        <v>435</v>
      </c>
      <c r="L19" s="36">
        <v>0</v>
      </c>
      <c r="M19" s="39">
        <f>'Fertilizer (Push Irrigated)'!J4</f>
        <v>0</v>
      </c>
      <c r="T19" s="146" t="s">
        <v>482</v>
      </c>
      <c r="U19" s="147">
        <v>0</v>
      </c>
      <c r="V19" s="147">
        <v>0</v>
      </c>
      <c r="W19" s="147">
        <v>0</v>
      </c>
      <c r="X19" s="147">
        <v>0</v>
      </c>
      <c r="Y19" s="10" t="s">
        <v>457</v>
      </c>
    </row>
    <row r="20" spans="1:25" ht="16.5" customHeight="1" x14ac:dyDescent="0.3">
      <c r="A20" s="104" t="s">
        <v>37</v>
      </c>
      <c r="B20" s="114"/>
      <c r="C20" s="74" t="s">
        <v>602</v>
      </c>
      <c r="D20" s="26"/>
      <c r="E20" s="145">
        <f>M34</f>
        <v>269.77552500000002</v>
      </c>
      <c r="F20" s="32">
        <f t="shared" si="0"/>
        <v>269.77552500000002</v>
      </c>
      <c r="G20" s="29"/>
      <c r="I20" s="37" t="s">
        <v>405</v>
      </c>
      <c r="J20" s="35">
        <v>857</v>
      </c>
      <c r="K20" s="37" t="s">
        <v>435</v>
      </c>
      <c r="L20" s="36">
        <v>143</v>
      </c>
      <c r="M20" s="39">
        <f>'Fertilizer (Push Irrigated)'!J9+'Fertilizer (Push Irrigated)'!J15</f>
        <v>61.275500000000008</v>
      </c>
    </row>
    <row r="21" spans="1:25" ht="16.5" customHeight="1" x14ac:dyDescent="0.3">
      <c r="A21" s="104" t="s">
        <v>257</v>
      </c>
      <c r="B21" s="114"/>
      <c r="C21" s="74" t="s">
        <v>556</v>
      </c>
      <c r="D21" s="26"/>
      <c r="E21" s="148">
        <f>M78</f>
        <v>76.556250000000006</v>
      </c>
      <c r="F21" s="32">
        <f t="shared" si="0"/>
        <v>76.556250000000006</v>
      </c>
      <c r="G21" s="29"/>
      <c r="I21" s="37" t="s">
        <v>427</v>
      </c>
      <c r="J21" s="35">
        <v>894</v>
      </c>
      <c r="K21" s="37" t="s">
        <v>435</v>
      </c>
      <c r="L21" s="36">
        <v>0</v>
      </c>
      <c r="M21" s="39">
        <f>'Fertilizer (Push Irrigated)'!J10+'Fertilizer (Push Irrigated)'!J16</f>
        <v>0</v>
      </c>
      <c r="U21" s="10" t="s">
        <v>458</v>
      </c>
      <c r="Y21" s="54" t="s">
        <v>455</v>
      </c>
    </row>
    <row r="22" spans="1:25" ht="16.5" customHeight="1" x14ac:dyDescent="0.3">
      <c r="A22" s="104" t="s">
        <v>41</v>
      </c>
      <c r="B22" s="105"/>
      <c r="C22" s="74" t="s">
        <v>592</v>
      </c>
      <c r="D22" s="26"/>
      <c r="E22" s="69">
        <v>30</v>
      </c>
      <c r="F22" s="32">
        <f t="shared" si="0"/>
        <v>30</v>
      </c>
      <c r="G22" s="29"/>
      <c r="I22" s="37" t="s">
        <v>488</v>
      </c>
      <c r="J22" s="35">
        <v>700</v>
      </c>
      <c r="K22" s="37" t="s">
        <v>3</v>
      </c>
      <c r="L22" s="36">
        <v>5</v>
      </c>
      <c r="M22" s="39">
        <f>'Fertilizer (Push Irrigated)'!J8</f>
        <v>20.474999999999998</v>
      </c>
      <c r="O22" s="149">
        <f>J25/2000</f>
        <v>0.33750000000000002</v>
      </c>
      <c r="P22" s="149">
        <f>O22*L25</f>
        <v>16.875</v>
      </c>
      <c r="U22" s="37" t="s">
        <v>51</v>
      </c>
      <c r="V22" s="37" t="s">
        <v>52</v>
      </c>
      <c r="W22" s="37" t="s">
        <v>442</v>
      </c>
      <c r="X22" s="37" t="s">
        <v>53</v>
      </c>
      <c r="Y22" s="100" t="s">
        <v>477</v>
      </c>
    </row>
    <row r="23" spans="1:25" ht="16.5" customHeight="1" x14ac:dyDescent="0.3">
      <c r="A23" s="104" t="s">
        <v>397</v>
      </c>
      <c r="B23" s="105"/>
      <c r="C23" s="74" t="s">
        <v>593</v>
      </c>
      <c r="D23" s="26"/>
      <c r="E23" s="69">
        <v>2</v>
      </c>
      <c r="F23" s="32">
        <f t="shared" si="0"/>
        <v>2</v>
      </c>
      <c r="G23" s="29"/>
      <c r="I23" s="37" t="s">
        <v>406</v>
      </c>
      <c r="J23" s="35">
        <v>503</v>
      </c>
      <c r="K23" s="37" t="s">
        <v>435</v>
      </c>
      <c r="L23" s="36">
        <v>82</v>
      </c>
      <c r="M23" s="39">
        <f>'Fertilizer (Push Irrigated)'!J17</f>
        <v>20.623000000000001</v>
      </c>
      <c r="O23" s="2"/>
      <c r="T23" s="100" t="s">
        <v>478</v>
      </c>
      <c r="U23" s="60">
        <v>0</v>
      </c>
      <c r="V23" s="60">
        <v>0</v>
      </c>
      <c r="W23" s="60">
        <v>0</v>
      </c>
      <c r="X23" s="60">
        <v>0</v>
      </c>
      <c r="Y23" s="61" t="s">
        <v>464</v>
      </c>
    </row>
    <row r="24" spans="1:25" ht="16.5" customHeight="1" x14ac:dyDescent="0.3">
      <c r="A24" s="104" t="s">
        <v>396</v>
      </c>
      <c r="B24" s="105"/>
      <c r="C24" s="74" t="s">
        <v>594</v>
      </c>
      <c r="D24" s="26"/>
      <c r="E24" s="69">
        <v>20</v>
      </c>
      <c r="F24" s="32">
        <f t="shared" si="0"/>
        <v>20</v>
      </c>
      <c r="G24" s="29"/>
      <c r="I24" s="37" t="s">
        <v>487</v>
      </c>
      <c r="J24" s="35">
        <v>0</v>
      </c>
      <c r="K24" s="37" t="s">
        <v>435</v>
      </c>
      <c r="L24" s="36">
        <v>0</v>
      </c>
      <c r="M24" s="39">
        <f>'Fertilizer (Push Irrigated)'!J18</f>
        <v>0</v>
      </c>
      <c r="T24" s="150" t="s">
        <v>483</v>
      </c>
      <c r="U24" s="147">
        <v>0</v>
      </c>
      <c r="V24" s="147">
        <v>0</v>
      </c>
      <c r="W24" s="147">
        <v>0</v>
      </c>
      <c r="X24" s="147">
        <v>0</v>
      </c>
      <c r="Y24" s="10" t="s">
        <v>457</v>
      </c>
    </row>
    <row r="25" spans="1:25" ht="16.5" customHeight="1" x14ac:dyDescent="0.3">
      <c r="A25" s="104" t="s">
        <v>43</v>
      </c>
      <c r="B25" s="114"/>
      <c r="C25" s="74" t="s">
        <v>559</v>
      </c>
      <c r="D25" s="26"/>
      <c r="E25" s="70">
        <v>40</v>
      </c>
      <c r="F25" s="32">
        <f t="shared" si="0"/>
        <v>40</v>
      </c>
      <c r="G25" s="29"/>
      <c r="I25" s="37" t="s">
        <v>452</v>
      </c>
      <c r="J25" s="35">
        <v>675</v>
      </c>
      <c r="K25" s="37" t="s">
        <v>435</v>
      </c>
      <c r="L25" s="36">
        <v>50</v>
      </c>
      <c r="M25" s="40">
        <f>'Fertilizer (Push Irrigated)'!J11+'Fertilizer (Push Irrigated)'!J20</f>
        <v>16.875</v>
      </c>
    </row>
    <row r="26" spans="1:25" ht="16.5" customHeight="1" x14ac:dyDescent="0.3">
      <c r="A26" s="104" t="s">
        <v>46</v>
      </c>
      <c r="B26" s="114"/>
      <c r="C26" s="74" t="s">
        <v>595</v>
      </c>
      <c r="D26" s="26"/>
      <c r="E26" s="70">
        <v>64</v>
      </c>
      <c r="F26" s="32">
        <f t="shared" si="0"/>
        <v>64</v>
      </c>
      <c r="G26" s="29"/>
      <c r="I26" s="37" t="s">
        <v>489</v>
      </c>
      <c r="J26" s="35">
        <v>0</v>
      </c>
      <c r="K26" s="37" t="s">
        <v>435</v>
      </c>
      <c r="L26" s="36">
        <v>0</v>
      </c>
      <c r="M26" s="39">
        <f>'Fertilizer (Push Irrigated)'!J21</f>
        <v>0</v>
      </c>
      <c r="U26" s="263" t="s">
        <v>476</v>
      </c>
      <c r="V26" s="263"/>
      <c r="W26" s="263"/>
      <c r="X26" s="263"/>
      <c r="Y26" s="263"/>
    </row>
    <row r="27" spans="1:25" ht="16.5" customHeight="1" x14ac:dyDescent="0.3">
      <c r="A27" s="104" t="s">
        <v>38</v>
      </c>
      <c r="B27" s="114"/>
      <c r="C27" s="74" t="s">
        <v>561</v>
      </c>
      <c r="D27" s="26"/>
      <c r="E27" s="70">
        <v>18</v>
      </c>
      <c r="F27" s="32">
        <f t="shared" si="0"/>
        <v>18</v>
      </c>
      <c r="G27" s="29"/>
      <c r="I27" s="37" t="s">
        <v>492</v>
      </c>
      <c r="J27" s="35">
        <v>55</v>
      </c>
      <c r="K27" s="37" t="s">
        <v>481</v>
      </c>
      <c r="L27" s="36">
        <v>0</v>
      </c>
      <c r="M27" s="39">
        <f>J27*L27</f>
        <v>0</v>
      </c>
      <c r="U27" s="263"/>
      <c r="V27" s="263"/>
      <c r="W27" s="263"/>
      <c r="X27" s="263"/>
      <c r="Y27" s="263"/>
    </row>
    <row r="28" spans="1:25" ht="16.5" customHeight="1" x14ac:dyDescent="0.3">
      <c r="A28" s="104" t="s">
        <v>390</v>
      </c>
      <c r="B28" s="105"/>
      <c r="C28" s="74" t="s">
        <v>562</v>
      </c>
      <c r="D28" s="26"/>
      <c r="E28" s="70">
        <v>11</v>
      </c>
      <c r="F28" s="32">
        <f t="shared" si="0"/>
        <v>11</v>
      </c>
      <c r="G28" s="29"/>
      <c r="I28" s="37" t="s">
        <v>463</v>
      </c>
      <c r="J28" s="35">
        <v>50</v>
      </c>
      <c r="K28" s="37" t="s">
        <v>481</v>
      </c>
      <c r="L28" s="36">
        <v>0</v>
      </c>
      <c r="M28" s="39">
        <f>J28*L28</f>
        <v>0</v>
      </c>
    </row>
    <row r="29" spans="1:25" ht="16.5" customHeight="1" x14ac:dyDescent="0.3">
      <c r="A29" s="104" t="s">
        <v>42</v>
      </c>
      <c r="B29" s="105"/>
      <c r="C29" s="74" t="s">
        <v>401</v>
      </c>
      <c r="D29" s="26"/>
      <c r="E29" s="70">
        <v>3</v>
      </c>
      <c r="F29" s="32">
        <f t="shared" si="0"/>
        <v>3</v>
      </c>
      <c r="G29" s="29"/>
      <c r="I29" s="37" t="s">
        <v>479</v>
      </c>
      <c r="J29" s="35">
        <v>0.01</v>
      </c>
      <c r="K29" s="37" t="s">
        <v>480</v>
      </c>
      <c r="L29" s="63">
        <v>0</v>
      </c>
      <c r="M29" s="46">
        <f>J29*L29*1000</f>
        <v>0</v>
      </c>
      <c r="U29" s="151" t="s">
        <v>473</v>
      </c>
      <c r="V29" s="151"/>
      <c r="W29" s="151"/>
      <c r="X29" s="151"/>
    </row>
    <row r="30" spans="1:25" ht="16.5" customHeight="1" x14ac:dyDescent="0.3">
      <c r="A30" s="104" t="s">
        <v>48</v>
      </c>
      <c r="B30" s="105"/>
      <c r="C30" s="74" t="s">
        <v>399</v>
      </c>
      <c r="D30" s="26"/>
      <c r="E30" s="69">
        <v>2.5</v>
      </c>
      <c r="F30" s="32">
        <f t="shared" si="0"/>
        <v>2.5</v>
      </c>
      <c r="G30" s="29"/>
      <c r="I30" s="37"/>
      <c r="J30" s="37"/>
      <c r="K30" s="37"/>
      <c r="L30" s="37"/>
      <c r="M30" s="37"/>
      <c r="U30" s="154" t="s">
        <v>51</v>
      </c>
      <c r="V30" s="154" t="s">
        <v>52</v>
      </c>
      <c r="W30" s="154" t="s">
        <v>442</v>
      </c>
      <c r="X30" s="154" t="s">
        <v>53</v>
      </c>
    </row>
    <row r="31" spans="1:25" ht="16.5" customHeight="1" x14ac:dyDescent="0.3">
      <c r="A31" s="104" t="s">
        <v>49</v>
      </c>
      <c r="B31" s="105"/>
      <c r="C31" s="74" t="s">
        <v>563</v>
      </c>
      <c r="D31" s="26"/>
      <c r="E31" s="70">
        <v>5</v>
      </c>
      <c r="F31" s="32">
        <f t="shared" si="0"/>
        <v>5</v>
      </c>
      <c r="G31" s="29"/>
      <c r="I31" s="132" t="s">
        <v>625</v>
      </c>
      <c r="J31" s="132" t="s">
        <v>627</v>
      </c>
      <c r="K31" s="162"/>
      <c r="L31" s="132" t="s">
        <v>626</v>
      </c>
      <c r="M31" s="93" t="s">
        <v>404</v>
      </c>
      <c r="U31" s="154">
        <v>42</v>
      </c>
      <c r="V31" s="154">
        <v>75</v>
      </c>
      <c r="W31" s="154">
        <v>58</v>
      </c>
      <c r="X31" s="154">
        <v>8</v>
      </c>
    </row>
    <row r="32" spans="1:25" ht="16.5" customHeight="1" x14ac:dyDescent="0.3">
      <c r="A32" s="104" t="s">
        <v>368</v>
      </c>
      <c r="B32" s="105"/>
      <c r="C32" s="74" t="s">
        <v>619</v>
      </c>
      <c r="D32" s="26"/>
      <c r="E32" s="70">
        <v>30</v>
      </c>
      <c r="F32" s="32">
        <f t="shared" si="0"/>
        <v>30</v>
      </c>
      <c r="G32" s="29"/>
      <c r="I32" s="37" t="s">
        <v>168</v>
      </c>
      <c r="J32" s="35">
        <v>10</v>
      </c>
      <c r="K32" s="37"/>
      <c r="L32" s="36">
        <v>0</v>
      </c>
      <c r="M32" s="39">
        <f>J32*L32</f>
        <v>0</v>
      </c>
    </row>
    <row r="33" spans="1:25" ht="16.5" customHeight="1" x14ac:dyDescent="0.3">
      <c r="A33" s="109" t="s">
        <v>511</v>
      </c>
      <c r="B33" s="105"/>
      <c r="C33" s="74" t="s">
        <v>513</v>
      </c>
      <c r="D33" s="26"/>
      <c r="E33" s="70">
        <v>0</v>
      </c>
      <c r="F33" s="32">
        <f t="shared" si="0"/>
        <v>0</v>
      </c>
      <c r="G33" s="29"/>
      <c r="R33" s="10">
        <v>0</v>
      </c>
      <c r="S33" s="10" t="s">
        <v>441</v>
      </c>
      <c r="U33" s="151" t="s">
        <v>474</v>
      </c>
      <c r="V33" s="151"/>
      <c r="W33" s="151"/>
      <c r="X33" s="151"/>
    </row>
    <row r="34" spans="1:25" ht="16.5" customHeight="1" x14ac:dyDescent="0.3">
      <c r="A34" s="109" t="s">
        <v>512</v>
      </c>
      <c r="B34" s="105"/>
      <c r="C34" s="74" t="s">
        <v>514</v>
      </c>
      <c r="D34" s="26"/>
      <c r="E34" s="70">
        <v>0</v>
      </c>
      <c r="F34" s="32">
        <f t="shared" si="0"/>
        <v>0</v>
      </c>
      <c r="G34" s="29"/>
      <c r="L34" s="152" t="s">
        <v>431</v>
      </c>
      <c r="M34" s="153">
        <f>SUM(M16:M32)</f>
        <v>269.77552500000002</v>
      </c>
      <c r="R34" s="158">
        <v>8</v>
      </c>
      <c r="S34" s="159" t="s">
        <v>437</v>
      </c>
      <c r="T34" s="159"/>
      <c r="U34" s="154" t="s">
        <v>51</v>
      </c>
      <c r="V34" s="154" t="s">
        <v>52</v>
      </c>
      <c r="W34" s="154" t="s">
        <v>442</v>
      </c>
      <c r="X34" s="154" t="s">
        <v>53</v>
      </c>
    </row>
    <row r="35" spans="1:25" ht="16.5" customHeight="1" x14ac:dyDescent="0.3">
      <c r="A35" s="109" t="s">
        <v>472</v>
      </c>
      <c r="B35" s="105"/>
      <c r="C35" s="227" t="s">
        <v>565</v>
      </c>
      <c r="D35" s="26"/>
      <c r="E35" s="70">
        <v>14</v>
      </c>
      <c r="F35" s="32">
        <f t="shared" si="0"/>
        <v>14</v>
      </c>
      <c r="G35" s="29"/>
      <c r="M35" s="153"/>
      <c r="R35" s="158">
        <v>16</v>
      </c>
      <c r="S35" s="159" t="s">
        <v>438</v>
      </c>
      <c r="T35" s="159"/>
      <c r="U35" s="154">
        <v>43</v>
      </c>
      <c r="V35" s="154">
        <v>17</v>
      </c>
      <c r="W35" s="154">
        <v>38</v>
      </c>
      <c r="X35" s="154">
        <v>10</v>
      </c>
    </row>
    <row r="36" spans="1:25" ht="16.5" customHeight="1" x14ac:dyDescent="0.3">
      <c r="A36" s="109" t="s">
        <v>366</v>
      </c>
      <c r="B36" s="105"/>
      <c r="C36" s="74" t="s">
        <v>400</v>
      </c>
      <c r="D36" s="26"/>
      <c r="E36" s="70">
        <v>8</v>
      </c>
      <c r="F36" s="32">
        <f t="shared" si="0"/>
        <v>8</v>
      </c>
      <c r="G36" s="29"/>
      <c r="J36" s="155" t="s">
        <v>51</v>
      </c>
      <c r="K36" s="155" t="s">
        <v>52</v>
      </c>
      <c r="L36" s="155" t="s">
        <v>442</v>
      </c>
      <c r="M36" s="155" t="s">
        <v>53</v>
      </c>
      <c r="R36" s="158">
        <v>128</v>
      </c>
      <c r="S36" s="159" t="s">
        <v>439</v>
      </c>
      <c r="T36" s="159"/>
    </row>
    <row r="37" spans="1:25" ht="16.5" customHeight="1" x14ac:dyDescent="0.3">
      <c r="A37" s="72" t="s">
        <v>475</v>
      </c>
      <c r="B37" s="105"/>
      <c r="C37" s="74"/>
      <c r="D37" s="160"/>
      <c r="E37" s="69">
        <v>0</v>
      </c>
      <c r="F37" s="32">
        <f t="shared" si="0"/>
        <v>0</v>
      </c>
      <c r="G37" s="29"/>
      <c r="I37" s="4" t="s">
        <v>581</v>
      </c>
      <c r="J37" s="156">
        <f>'Fertilizer (Push Irrigated)'!P5+(U19*L28)+(L29*U24)</f>
        <v>206.40800000000002</v>
      </c>
      <c r="K37" s="156">
        <f>'Fertilizer (Push Irrigated)'!Q5+(V19*L28)+(L29*V24)</f>
        <v>85.67</v>
      </c>
      <c r="L37" s="156">
        <f>'Fertilizer (Push Irrigated)'!R5+(W19*L28)+(L29*W24)</f>
        <v>49.199999999999996</v>
      </c>
      <c r="M37" s="156">
        <f>'Fertilizer (Push Irrigated)'!S5+(X19*L28)+(L29*X24)</f>
        <v>12</v>
      </c>
      <c r="N37" s="161"/>
      <c r="R37" s="10">
        <v>4</v>
      </c>
      <c r="S37" s="10" t="s">
        <v>440</v>
      </c>
      <c r="U37" s="270" t="s">
        <v>535</v>
      </c>
      <c r="V37" s="270"/>
      <c r="W37" s="270"/>
      <c r="X37" s="270"/>
      <c r="Y37" s="270"/>
    </row>
    <row r="38" spans="1:25" ht="16.5" customHeight="1" x14ac:dyDescent="0.3">
      <c r="A38" s="72" t="s">
        <v>475</v>
      </c>
      <c r="B38" s="105"/>
      <c r="C38" s="74"/>
      <c r="D38" s="160"/>
      <c r="E38" s="69">
        <v>0</v>
      </c>
      <c r="F38" s="32">
        <f t="shared" si="0"/>
        <v>0</v>
      </c>
      <c r="G38" s="29"/>
      <c r="I38" s="234" t="s">
        <v>588</v>
      </c>
      <c r="J38" s="157"/>
      <c r="K38" s="147"/>
      <c r="L38" s="147"/>
      <c r="M38" s="147"/>
      <c r="U38" s="270"/>
      <c r="V38" s="270"/>
      <c r="W38" s="270"/>
      <c r="X38" s="270"/>
      <c r="Y38" s="270"/>
    </row>
    <row r="39" spans="1:25" ht="16.5" customHeight="1" x14ac:dyDescent="0.3">
      <c r="A39" s="72" t="s">
        <v>475</v>
      </c>
      <c r="B39" s="105"/>
      <c r="C39" s="74"/>
      <c r="D39" s="160"/>
      <c r="E39" s="69">
        <v>0</v>
      </c>
      <c r="F39" s="32">
        <f t="shared" si="0"/>
        <v>0</v>
      </c>
      <c r="G39" s="29"/>
      <c r="I39" s="234"/>
      <c r="J39" s="157"/>
      <c r="K39" s="147"/>
      <c r="L39" s="147"/>
      <c r="M39" s="147"/>
      <c r="U39" s="270"/>
      <c r="V39" s="270"/>
      <c r="W39" s="270"/>
      <c r="X39" s="270"/>
      <c r="Y39" s="270"/>
    </row>
    <row r="40" spans="1:25" ht="16.5" customHeight="1" thickBot="1" x14ac:dyDescent="0.35">
      <c r="A40" s="163" t="s">
        <v>251</v>
      </c>
      <c r="B40" s="164"/>
      <c r="C40" s="18"/>
      <c r="D40" s="22"/>
      <c r="E40" s="23">
        <f>SUM(E19:E39)</f>
        <v>750.01927499999999</v>
      </c>
      <c r="F40" s="165"/>
      <c r="G40" s="29"/>
      <c r="I40" s="265" t="s">
        <v>433</v>
      </c>
      <c r="J40" s="266"/>
      <c r="K40" s="266"/>
      <c r="L40" s="266"/>
      <c r="M40" s="267"/>
      <c r="U40" s="270"/>
      <c r="V40" s="270"/>
      <c r="W40" s="270"/>
      <c r="X40" s="270"/>
      <c r="Y40" s="270"/>
    </row>
    <row r="41" spans="1:25" ht="16.5" customHeight="1" thickTop="1" x14ac:dyDescent="0.3">
      <c r="A41" s="166" t="s">
        <v>370</v>
      </c>
      <c r="B41" s="167"/>
      <c r="C41" s="168"/>
      <c r="D41" s="169"/>
      <c r="E41" s="170">
        <f>E15-E40</f>
        <v>315.73072500000001</v>
      </c>
      <c r="F41" s="171"/>
      <c r="G41" s="29"/>
      <c r="U41" s="270"/>
      <c r="V41" s="270"/>
      <c r="W41" s="270"/>
      <c r="X41" s="270"/>
      <c r="Y41" s="270"/>
    </row>
    <row r="42" spans="1:25" ht="16.5" customHeight="1" x14ac:dyDescent="0.3">
      <c r="A42" s="172"/>
      <c r="B42" s="138"/>
      <c r="C42" s="173"/>
      <c r="D42" s="174"/>
      <c r="E42" s="175"/>
      <c r="F42" s="135"/>
      <c r="G42" s="29"/>
      <c r="I42" s="271" t="s">
        <v>497</v>
      </c>
      <c r="J42" s="271"/>
      <c r="K42" s="271"/>
      <c r="L42" s="271"/>
      <c r="M42" s="271"/>
      <c r="U42" s="270"/>
      <c r="V42" s="270"/>
      <c r="W42" s="270"/>
      <c r="X42" s="270"/>
      <c r="Y42" s="270"/>
    </row>
    <row r="43" spans="1:25" ht="16.5" customHeight="1" x14ac:dyDescent="0.3">
      <c r="A43" s="176" t="s">
        <v>373</v>
      </c>
      <c r="B43" s="138"/>
      <c r="C43" s="173"/>
      <c r="D43" s="174"/>
      <c r="E43" s="143" t="s">
        <v>35</v>
      </c>
      <c r="F43" s="144"/>
      <c r="G43" s="29"/>
      <c r="I43" s="132" t="s">
        <v>424</v>
      </c>
      <c r="J43" s="132" t="s">
        <v>436</v>
      </c>
      <c r="K43" s="162" t="s">
        <v>434</v>
      </c>
      <c r="L43" s="132" t="s">
        <v>432</v>
      </c>
      <c r="M43" s="93" t="s">
        <v>404</v>
      </c>
    </row>
    <row r="44" spans="1:25" ht="16.5" customHeight="1" x14ac:dyDescent="0.3">
      <c r="A44" s="177" t="s">
        <v>256</v>
      </c>
      <c r="B44" s="105"/>
      <c r="C44" s="227" t="s">
        <v>598</v>
      </c>
      <c r="D44" s="160"/>
      <c r="E44" s="70">
        <v>13.5</v>
      </c>
      <c r="F44" s="32">
        <f t="shared" ref="F44:F50" si="1">E44</f>
        <v>13.5</v>
      </c>
      <c r="G44" s="29"/>
      <c r="I44" s="100" t="s">
        <v>60</v>
      </c>
      <c r="J44" s="100" t="s">
        <v>60</v>
      </c>
      <c r="K44" s="100" t="s">
        <v>60</v>
      </c>
      <c r="L44" s="100" t="s">
        <v>60</v>
      </c>
      <c r="M44" s="93"/>
      <c r="U44" s="263" t="s">
        <v>628</v>
      </c>
      <c r="V44" s="263"/>
      <c r="W44" s="263"/>
      <c r="X44" s="263"/>
      <c r="Y44" s="263"/>
    </row>
    <row r="45" spans="1:25" ht="16.5" customHeight="1" x14ac:dyDescent="0.3">
      <c r="A45" s="109" t="s">
        <v>169</v>
      </c>
      <c r="B45" s="105"/>
      <c r="C45" s="227" t="s">
        <v>599</v>
      </c>
      <c r="D45" s="160"/>
      <c r="E45" s="70">
        <v>295</v>
      </c>
      <c r="F45" s="32">
        <f t="shared" si="1"/>
        <v>295</v>
      </c>
      <c r="G45" s="29"/>
      <c r="I45" s="36" t="s">
        <v>586</v>
      </c>
      <c r="J45" s="35">
        <v>45</v>
      </c>
      <c r="K45" s="55" t="s">
        <v>440</v>
      </c>
      <c r="L45" s="36">
        <v>1.6</v>
      </c>
      <c r="M45" s="39">
        <f>IFERROR(J45/(_xlfn.XLOOKUP(K45,$S$33:$S$37,$R$33:$R$37))*L45,0)</f>
        <v>18</v>
      </c>
      <c r="U45" s="263"/>
      <c r="V45" s="263"/>
      <c r="W45" s="263"/>
      <c r="X45" s="263"/>
      <c r="Y45" s="263"/>
    </row>
    <row r="46" spans="1:25" ht="16.5" customHeight="1" x14ac:dyDescent="0.3">
      <c r="A46" s="109" t="s">
        <v>471</v>
      </c>
      <c r="B46" s="105"/>
      <c r="C46" s="227" t="s">
        <v>600</v>
      </c>
      <c r="D46" s="160"/>
      <c r="E46" s="70">
        <v>10</v>
      </c>
      <c r="F46" s="32">
        <f t="shared" si="1"/>
        <v>10</v>
      </c>
      <c r="G46" s="29"/>
      <c r="I46" s="36" t="s">
        <v>585</v>
      </c>
      <c r="J46" s="35">
        <v>78</v>
      </c>
      <c r="K46" s="55" t="s">
        <v>440</v>
      </c>
      <c r="L46" s="36">
        <v>1.25</v>
      </c>
      <c r="M46" s="39">
        <f t="shared" ref="M46" si="2">IFERROR(J46/(_xlfn.XLOOKUP(K46,$S$33:$S$37,$R$33:$R$37))*L46,0)</f>
        <v>24.375</v>
      </c>
      <c r="U46" s="263"/>
      <c r="V46" s="263"/>
      <c r="W46" s="263"/>
      <c r="X46" s="263"/>
      <c r="Y46" s="263"/>
    </row>
    <row r="47" spans="1:25" ht="16.5" customHeight="1" x14ac:dyDescent="0.3">
      <c r="A47" s="109" t="s">
        <v>470</v>
      </c>
      <c r="B47" s="105"/>
      <c r="C47" s="227" t="s">
        <v>601</v>
      </c>
      <c r="D47" s="160"/>
      <c r="E47" s="70">
        <v>67</v>
      </c>
      <c r="F47" s="32">
        <f t="shared" si="1"/>
        <v>67</v>
      </c>
      <c r="G47" s="29"/>
      <c r="I47" s="36" t="s">
        <v>587</v>
      </c>
      <c r="J47" s="35">
        <v>31.98</v>
      </c>
      <c r="K47" s="55" t="s">
        <v>439</v>
      </c>
      <c r="L47" s="36">
        <v>20</v>
      </c>
      <c r="M47" s="39">
        <f>IFERROR(J47/(_xlfn.XLOOKUP(K47,$S$33:$S$37,$R$33:$R$37))*L47,0)</f>
        <v>4.9968750000000002</v>
      </c>
    </row>
    <row r="48" spans="1:25" ht="16.5" customHeight="1" x14ac:dyDescent="0.3">
      <c r="A48" s="109" t="s">
        <v>366</v>
      </c>
      <c r="B48" s="105"/>
      <c r="C48" s="227" t="s">
        <v>400</v>
      </c>
      <c r="D48" s="160"/>
      <c r="E48" s="69">
        <v>6</v>
      </c>
      <c r="F48" s="32">
        <f t="shared" si="1"/>
        <v>6</v>
      </c>
      <c r="G48" s="29"/>
      <c r="I48" s="36" t="s">
        <v>366</v>
      </c>
      <c r="J48" s="35">
        <v>0</v>
      </c>
      <c r="K48" s="55" t="s">
        <v>441</v>
      </c>
      <c r="L48" s="36">
        <v>0</v>
      </c>
      <c r="M48" s="39">
        <f>IFERROR(J48/(_xlfn.XLOOKUP(K48,$S$33:$S$37,$R$33:$R$37))*L48,0)</f>
        <v>0</v>
      </c>
    </row>
    <row r="49" spans="1:15" ht="16.5" customHeight="1" x14ac:dyDescent="0.3">
      <c r="A49" s="72" t="s">
        <v>475</v>
      </c>
      <c r="B49" s="105"/>
      <c r="C49" s="74"/>
      <c r="D49" s="160"/>
      <c r="E49" s="69">
        <v>0</v>
      </c>
      <c r="F49" s="32">
        <f t="shared" si="1"/>
        <v>0</v>
      </c>
      <c r="G49" s="29"/>
      <c r="I49" s="36" t="s">
        <v>366</v>
      </c>
      <c r="J49" s="35">
        <v>0</v>
      </c>
      <c r="K49" s="55" t="s">
        <v>441</v>
      </c>
      <c r="L49" s="36">
        <v>0</v>
      </c>
      <c r="M49" s="39">
        <f>IFERROR(J49/(_xlfn.XLOOKUP(K49,$S$33:$S$37,$R$33:$R$37))*L49,0)</f>
        <v>0</v>
      </c>
    </row>
    <row r="50" spans="1:15" ht="16.5" customHeight="1" x14ac:dyDescent="0.3">
      <c r="A50" s="73" t="s">
        <v>475</v>
      </c>
      <c r="B50" s="105"/>
      <c r="C50" s="74"/>
      <c r="D50" s="160"/>
      <c r="E50" s="69">
        <v>0</v>
      </c>
      <c r="F50" s="32">
        <f t="shared" si="1"/>
        <v>0</v>
      </c>
      <c r="G50" s="29"/>
    </row>
    <row r="51" spans="1:15" ht="16.5" customHeight="1" x14ac:dyDescent="0.3">
      <c r="A51" s="178" t="s">
        <v>375</v>
      </c>
      <c r="B51" s="179"/>
      <c r="C51" s="19"/>
      <c r="D51" s="26"/>
      <c r="E51" s="62">
        <f>SUM(E44:E50)</f>
        <v>391.5</v>
      </c>
      <c r="F51" s="32">
        <f>E50</f>
        <v>0</v>
      </c>
      <c r="G51" s="29"/>
      <c r="I51" s="10" t="s">
        <v>32</v>
      </c>
      <c r="J51" s="35">
        <v>0</v>
      </c>
      <c r="K51" s="55" t="s">
        <v>441</v>
      </c>
      <c r="L51" s="36">
        <v>0</v>
      </c>
      <c r="M51" s="39">
        <f>IFERROR(J51/(_xlfn.XLOOKUP(K51,$S$33:$S$37,$R$33:$R$37))*L51,0)</f>
        <v>0</v>
      </c>
    </row>
    <row r="52" spans="1:15" ht="16.5" customHeight="1" thickBot="1" x14ac:dyDescent="0.35">
      <c r="A52" s="180" t="s">
        <v>376</v>
      </c>
      <c r="B52" s="164"/>
      <c r="C52" s="20"/>
      <c r="D52" s="22"/>
      <c r="E52" s="25">
        <f>E40+E51</f>
        <v>1141.5192750000001</v>
      </c>
      <c r="F52" s="165"/>
      <c r="G52" s="17"/>
      <c r="I52" s="10" t="s">
        <v>67</v>
      </c>
      <c r="J52" s="35">
        <v>0</v>
      </c>
      <c r="K52" s="55" t="s">
        <v>441</v>
      </c>
      <c r="L52" s="36">
        <v>0</v>
      </c>
      <c r="M52" s="39">
        <f t="shared" ref="M52:M55" si="3">IFERROR(J52/(_xlfn.XLOOKUP(K52,$S$33:$S$37,$R$33:$R$37))*L52,0)</f>
        <v>0</v>
      </c>
    </row>
    <row r="53" spans="1:15" ht="16.5" customHeight="1" thickTop="1" x14ac:dyDescent="0.3">
      <c r="A53" s="181" t="s">
        <v>388</v>
      </c>
      <c r="B53" s="167"/>
      <c r="C53" s="182"/>
      <c r="D53" s="128"/>
      <c r="E53" s="183">
        <f>E15-E52</f>
        <v>-75.769275000000107</v>
      </c>
      <c r="F53" s="171"/>
      <c r="G53" s="17"/>
      <c r="I53" s="10" t="s">
        <v>70</v>
      </c>
      <c r="J53" s="35">
        <v>0</v>
      </c>
      <c r="K53" s="55" t="s">
        <v>441</v>
      </c>
      <c r="L53" s="36">
        <v>0</v>
      </c>
      <c r="M53" s="39">
        <f t="shared" si="3"/>
        <v>0</v>
      </c>
      <c r="N53" s="161"/>
    </row>
    <row r="54" spans="1:15" ht="16.5" customHeight="1" x14ac:dyDescent="0.3">
      <c r="A54" s="184"/>
      <c r="B54" s="138"/>
      <c r="C54" s="185"/>
      <c r="D54" s="185"/>
      <c r="E54" s="186"/>
      <c r="F54" s="187"/>
      <c r="G54" s="188"/>
      <c r="I54" s="10" t="s">
        <v>71</v>
      </c>
      <c r="J54" s="35">
        <v>0</v>
      </c>
      <c r="K54" s="55" t="s">
        <v>441</v>
      </c>
      <c r="L54" s="36">
        <v>0</v>
      </c>
      <c r="M54" s="39">
        <f t="shared" si="3"/>
        <v>0</v>
      </c>
    </row>
    <row r="55" spans="1:15" ht="16.5" customHeight="1" x14ac:dyDescent="0.3">
      <c r="A55" s="189" t="s">
        <v>363</v>
      </c>
      <c r="B55" s="190"/>
      <c r="C55" s="190"/>
      <c r="D55" s="190"/>
      <c r="E55" s="190"/>
      <c r="F55" s="191"/>
      <c r="G55" s="192"/>
      <c r="I55" s="10" t="s">
        <v>69</v>
      </c>
      <c r="J55" s="35">
        <v>0</v>
      </c>
      <c r="K55" s="55" t="s">
        <v>441</v>
      </c>
      <c r="L55" s="36">
        <v>0</v>
      </c>
      <c r="M55" s="39">
        <f t="shared" si="3"/>
        <v>0</v>
      </c>
    </row>
    <row r="56" spans="1:15" ht="16.5" customHeight="1" x14ac:dyDescent="0.3">
      <c r="A56" s="193"/>
      <c r="B56" s="194"/>
      <c r="C56" s="195"/>
      <c r="D56" s="195"/>
      <c r="E56" s="195"/>
      <c r="F56" s="196"/>
      <c r="G56" s="197"/>
      <c r="I56" s="10" t="s">
        <v>499</v>
      </c>
      <c r="J56" s="35">
        <v>0</v>
      </c>
      <c r="K56" s="55" t="s">
        <v>441</v>
      </c>
      <c r="L56" s="36">
        <v>0</v>
      </c>
      <c r="M56" s="39">
        <f>IFERROR(J56/(_xlfn.XLOOKUP(K56,$S$33:$S$37,$R$33:$R$37))*L56,0)</f>
        <v>0</v>
      </c>
    </row>
    <row r="57" spans="1:15" ht="16.5" customHeight="1" x14ac:dyDescent="0.3">
      <c r="A57" s="176" t="s">
        <v>389</v>
      </c>
      <c r="B57" s="198"/>
      <c r="C57" s="195"/>
      <c r="D57" s="195"/>
      <c r="E57" s="195"/>
      <c r="F57" s="199"/>
      <c r="G57" s="17"/>
      <c r="I57" s="65" t="s">
        <v>500</v>
      </c>
      <c r="J57" s="35">
        <v>0</v>
      </c>
      <c r="K57" s="55" t="s">
        <v>441</v>
      </c>
      <c r="L57" s="36">
        <v>0</v>
      </c>
      <c r="M57" s="39">
        <f t="shared" ref="M57" si="4">IFERROR(J57/(_xlfn.XLOOKUP(K57,$S$33:$S$37,$R$33:$R$37))*L57,0)</f>
        <v>0</v>
      </c>
    </row>
    <row r="58" spans="1:15" ht="16.5" customHeight="1" x14ac:dyDescent="0.3">
      <c r="A58" s="200" t="s">
        <v>394</v>
      </c>
      <c r="B58" s="201"/>
      <c r="C58" s="202"/>
      <c r="D58" s="202"/>
      <c r="E58" s="138">
        <f>E52/E9</f>
        <v>4.6592623469387764</v>
      </c>
      <c r="F58" s="203" t="s">
        <v>395</v>
      </c>
      <c r="G58" s="17"/>
    </row>
    <row r="59" spans="1:15" ht="16.5" customHeight="1" thickBot="1" x14ac:dyDescent="0.35">
      <c r="A59" s="204" t="s">
        <v>362</v>
      </c>
      <c r="B59" s="205"/>
      <c r="C59" s="206"/>
      <c r="D59" s="206"/>
      <c r="E59" s="207">
        <f>E52/E8</f>
        <v>262.41822413793108</v>
      </c>
      <c r="F59" s="208" t="s">
        <v>443</v>
      </c>
      <c r="G59" s="17"/>
      <c r="I59" s="271" t="s">
        <v>498</v>
      </c>
      <c r="J59" s="271"/>
      <c r="K59" s="271"/>
      <c r="L59" s="271"/>
      <c r="M59" s="271"/>
    </row>
    <row r="60" spans="1:15" ht="16.5" customHeight="1" x14ac:dyDescent="0.3">
      <c r="A60" s="89"/>
      <c r="B60" s="89"/>
      <c r="C60" s="89"/>
      <c r="D60" s="89"/>
      <c r="E60" s="89"/>
      <c r="F60" s="89"/>
      <c r="G60" s="17"/>
      <c r="I60" s="132" t="s">
        <v>424</v>
      </c>
      <c r="J60" s="132" t="s">
        <v>436</v>
      </c>
      <c r="K60" s="162" t="s">
        <v>434</v>
      </c>
      <c r="L60" s="132" t="s">
        <v>432</v>
      </c>
      <c r="M60" s="93" t="s">
        <v>404</v>
      </c>
    </row>
    <row r="61" spans="1:15" ht="16.5" customHeight="1" x14ac:dyDescent="0.3">
      <c r="A61" s="151" t="s">
        <v>446</v>
      </c>
      <c r="G61" s="17"/>
      <c r="I61" s="100" t="s">
        <v>60</v>
      </c>
      <c r="J61" s="100" t="s">
        <v>60</v>
      </c>
      <c r="K61" s="100" t="s">
        <v>60</v>
      </c>
      <c r="L61" s="100" t="s">
        <v>60</v>
      </c>
      <c r="M61" s="93"/>
    </row>
    <row r="62" spans="1:15" ht="16.5" customHeight="1" x14ac:dyDescent="0.3">
      <c r="A62" s="151" t="s">
        <v>447</v>
      </c>
      <c r="G62" s="17"/>
      <c r="I62" s="36" t="s">
        <v>620</v>
      </c>
      <c r="J62" s="35">
        <v>200</v>
      </c>
      <c r="K62" s="55" t="s">
        <v>439</v>
      </c>
      <c r="L62" s="36">
        <v>13.75</v>
      </c>
      <c r="M62" s="39">
        <f>IFERROR(J62/(_xlfn.XLOOKUP(K62,$S$33:$S$37,$R$33:$R$37))*L62,0)</f>
        <v>21.484375</v>
      </c>
    </row>
    <row r="63" spans="1:15" ht="16.5" customHeight="1" x14ac:dyDescent="0.3">
      <c r="A63" s="209"/>
      <c r="B63" s="151"/>
      <c r="C63" s="151"/>
      <c r="D63" s="151"/>
      <c r="E63" s="151"/>
      <c r="F63" s="151"/>
      <c r="G63" s="21"/>
      <c r="I63" s="36" t="s">
        <v>366</v>
      </c>
      <c r="J63" s="35">
        <v>0</v>
      </c>
      <c r="K63" s="55" t="s">
        <v>441</v>
      </c>
      <c r="L63" s="36">
        <v>0</v>
      </c>
      <c r="M63" s="39">
        <f t="shared" ref="M63:M64" si="5">IFERROR(J63/(_xlfn.XLOOKUP(K63,$S$33:$S$37,$R$33:$R$37))*L63,0)</f>
        <v>0</v>
      </c>
    </row>
    <row r="64" spans="1:15" ht="16.5" customHeight="1" x14ac:dyDescent="0.3">
      <c r="A64" s="209"/>
      <c r="B64" s="151"/>
      <c r="C64" s="151"/>
      <c r="D64" s="151"/>
      <c r="E64" s="151"/>
      <c r="F64" s="151"/>
      <c r="G64" s="21"/>
      <c r="I64" s="36" t="s">
        <v>366</v>
      </c>
      <c r="J64" s="35">
        <v>0</v>
      </c>
      <c r="K64" s="55" t="s">
        <v>441</v>
      </c>
      <c r="L64" s="36">
        <v>0</v>
      </c>
      <c r="M64" s="39">
        <f t="shared" si="5"/>
        <v>0</v>
      </c>
      <c r="O64" s="2"/>
    </row>
    <row r="65" spans="1:15" ht="16.5" customHeight="1" x14ac:dyDescent="0.3">
      <c r="G65" s="21"/>
      <c r="L65" s="7"/>
      <c r="O65" s="2"/>
    </row>
    <row r="66" spans="1:15" ht="16.5" customHeight="1" x14ac:dyDescent="0.3">
      <c r="A66" s="211"/>
      <c r="B66" s="146"/>
      <c r="C66" s="146"/>
      <c r="D66" s="146"/>
      <c r="E66" s="146"/>
      <c r="G66" s="21"/>
      <c r="I66" s="10" t="s">
        <v>32</v>
      </c>
      <c r="J66" s="35">
        <v>0</v>
      </c>
      <c r="K66" s="55" t="s">
        <v>441</v>
      </c>
      <c r="L66" s="36">
        <v>0</v>
      </c>
      <c r="M66" s="39">
        <f>IFERROR(J66/(_xlfn.XLOOKUP(K66,$S$33:$S$37,$R$33:$R$37))*L66,0)</f>
        <v>0</v>
      </c>
      <c r="O66" s="2"/>
    </row>
    <row r="67" spans="1:15" ht="16.5" customHeight="1" x14ac:dyDescent="0.3">
      <c r="F67" s="146"/>
      <c r="G67" s="21"/>
      <c r="I67" s="10" t="s">
        <v>67</v>
      </c>
      <c r="J67" s="35">
        <v>0</v>
      </c>
      <c r="K67" s="55" t="s">
        <v>441</v>
      </c>
      <c r="L67" s="36">
        <v>0</v>
      </c>
      <c r="M67" s="39">
        <f t="shared" ref="M67:M70" si="6">IFERROR(J67/(_xlfn.XLOOKUP(K67,$S$33:$S$37,$R$33:$R$37))*L67,0)</f>
        <v>0</v>
      </c>
      <c r="O67" s="2"/>
    </row>
    <row r="68" spans="1:15" ht="16.5" customHeight="1" x14ac:dyDescent="0.3">
      <c r="G68" s="21"/>
      <c r="I68" s="10" t="s">
        <v>70</v>
      </c>
      <c r="J68" s="35">
        <v>0</v>
      </c>
      <c r="K68" s="55" t="s">
        <v>441</v>
      </c>
      <c r="L68" s="36">
        <v>0</v>
      </c>
      <c r="M68" s="39">
        <f t="shared" si="6"/>
        <v>0</v>
      </c>
      <c r="O68" s="2"/>
    </row>
    <row r="69" spans="1:15" ht="16.5" customHeight="1" x14ac:dyDescent="0.3">
      <c r="G69" s="21"/>
      <c r="I69" s="10" t="s">
        <v>71</v>
      </c>
      <c r="J69" s="35">
        <v>0</v>
      </c>
      <c r="K69" s="55" t="s">
        <v>441</v>
      </c>
      <c r="L69" s="36">
        <v>0</v>
      </c>
      <c r="M69" s="39">
        <f t="shared" si="6"/>
        <v>0</v>
      </c>
      <c r="O69" s="2"/>
    </row>
    <row r="70" spans="1:15" ht="16.5" customHeight="1" x14ac:dyDescent="0.3">
      <c r="G70" s="21"/>
      <c r="I70" s="10" t="s">
        <v>69</v>
      </c>
      <c r="J70" s="35">
        <v>0</v>
      </c>
      <c r="K70" s="55" t="s">
        <v>441</v>
      </c>
      <c r="L70" s="36">
        <v>0</v>
      </c>
      <c r="M70" s="39">
        <f t="shared" si="6"/>
        <v>0</v>
      </c>
      <c r="O70" s="2"/>
    </row>
    <row r="71" spans="1:15" ht="16.5" customHeight="1" x14ac:dyDescent="0.3">
      <c r="G71" s="21"/>
      <c r="I71" s="10" t="s">
        <v>499</v>
      </c>
      <c r="J71" s="35">
        <v>21</v>
      </c>
      <c r="K71" s="55" t="s">
        <v>440</v>
      </c>
      <c r="L71" s="36">
        <v>0.2</v>
      </c>
      <c r="M71" s="39">
        <f>IFERROR(J71/(_xlfn.XLOOKUP(K71,$S$33:$S$37,$R$33:$R$37))*L71,0)</f>
        <v>1.05</v>
      </c>
    </row>
    <row r="72" spans="1:15" ht="16.5" customHeight="1" x14ac:dyDescent="0.3">
      <c r="G72" s="21"/>
      <c r="I72" s="65" t="s">
        <v>500</v>
      </c>
      <c r="J72" s="35">
        <v>0</v>
      </c>
      <c r="K72" s="55" t="s">
        <v>441</v>
      </c>
      <c r="L72" s="36">
        <v>0</v>
      </c>
      <c r="M72" s="39">
        <f t="shared" ref="M72" si="7">IFERROR(J72/(_xlfn.XLOOKUP(K72,$S$33:$S$37,$R$33:$R$37))*L72,0)</f>
        <v>0</v>
      </c>
    </row>
    <row r="73" spans="1:15" ht="16.5" customHeight="1" x14ac:dyDescent="0.3">
      <c r="G73" s="21"/>
    </row>
    <row r="74" spans="1:15" ht="16.5" customHeight="1" x14ac:dyDescent="0.3">
      <c r="G74" s="21"/>
      <c r="I74" s="132" t="s">
        <v>625</v>
      </c>
      <c r="J74" s="132" t="s">
        <v>627</v>
      </c>
      <c r="K74" s="162"/>
      <c r="L74" s="132" t="s">
        <v>626</v>
      </c>
      <c r="M74" s="93" t="s">
        <v>404</v>
      </c>
    </row>
    <row r="75" spans="1:15" ht="16.5" customHeight="1" x14ac:dyDescent="0.3">
      <c r="G75" s="21"/>
      <c r="I75" s="117" t="s">
        <v>629</v>
      </c>
      <c r="J75" s="35">
        <v>6.65</v>
      </c>
      <c r="K75" s="37"/>
      <c r="L75" s="36">
        <v>1</v>
      </c>
      <c r="M75" s="39">
        <f>J75*L75</f>
        <v>6.65</v>
      </c>
    </row>
    <row r="76" spans="1:15" ht="16.5" customHeight="1" x14ac:dyDescent="0.3">
      <c r="G76" s="21"/>
      <c r="I76" s="117" t="s">
        <v>168</v>
      </c>
      <c r="J76" s="35">
        <v>10</v>
      </c>
      <c r="K76" s="37"/>
      <c r="L76" s="36">
        <v>0</v>
      </c>
      <c r="M76" s="39">
        <f>J76*L76</f>
        <v>0</v>
      </c>
      <c r="N76" s="44"/>
    </row>
    <row r="77" spans="1:15" ht="16.5" customHeight="1" x14ac:dyDescent="0.3">
      <c r="G77" s="21"/>
      <c r="N77" s="37"/>
    </row>
    <row r="78" spans="1:15" ht="16.5" customHeight="1" x14ac:dyDescent="0.3">
      <c r="G78" s="21"/>
      <c r="L78" s="152" t="s">
        <v>431</v>
      </c>
      <c r="M78" s="153">
        <f>SUM(M45:M76)</f>
        <v>76.556250000000006</v>
      </c>
    </row>
    <row r="79" spans="1:15" ht="16.5" customHeight="1" x14ac:dyDescent="0.3">
      <c r="G79" s="21"/>
    </row>
    <row r="80" spans="1:15" ht="16.5" customHeight="1" x14ac:dyDescent="0.3">
      <c r="G80" s="21"/>
    </row>
    <row r="81" spans="7:13" ht="16.5" customHeight="1" x14ac:dyDescent="0.3">
      <c r="G81" s="21"/>
    </row>
    <row r="82" spans="7:13" ht="16.5" customHeight="1" x14ac:dyDescent="0.3">
      <c r="G82" s="21"/>
    </row>
    <row r="83" spans="7:13" ht="16.5" customHeight="1" x14ac:dyDescent="0.3">
      <c r="G83" s="21"/>
    </row>
    <row r="84" spans="7:13" ht="16.5" customHeight="1" x14ac:dyDescent="0.3">
      <c r="G84" s="21"/>
      <c r="I84" s="44"/>
      <c r="J84" s="44"/>
      <c r="K84" s="44"/>
      <c r="L84" s="44"/>
      <c r="M84" s="44"/>
    </row>
    <row r="85" spans="7:13" ht="16.5" customHeight="1" x14ac:dyDescent="0.3">
      <c r="G85" s="21"/>
      <c r="I85" s="44"/>
      <c r="J85" s="44"/>
      <c r="K85" s="44"/>
      <c r="L85" s="44"/>
      <c r="M85" s="44"/>
    </row>
    <row r="86" spans="7:13" ht="16.5" customHeight="1" x14ac:dyDescent="0.3">
      <c r="G86" s="21"/>
    </row>
    <row r="87" spans="7:13" ht="16.5" customHeight="1" x14ac:dyDescent="0.3">
      <c r="G87" s="21"/>
    </row>
    <row r="88" spans="7:13" ht="16.5" customHeight="1" x14ac:dyDescent="0.3">
      <c r="G88" s="21"/>
    </row>
    <row r="89" spans="7:13" ht="16.5" customHeight="1" x14ac:dyDescent="0.3">
      <c r="G89" s="21"/>
    </row>
    <row r="90" spans="7:13" ht="16.5" customHeight="1" x14ac:dyDescent="0.3">
      <c r="G90" s="21"/>
    </row>
    <row r="91" spans="7:13" ht="16.5" customHeight="1" x14ac:dyDescent="0.3">
      <c r="G91" s="21"/>
    </row>
    <row r="92" spans="7:13" ht="16.5" customHeight="1" x14ac:dyDescent="0.3">
      <c r="G92" s="21"/>
    </row>
    <row r="93" spans="7:13" ht="16.5" customHeight="1" x14ac:dyDescent="0.3">
      <c r="G93" s="21"/>
    </row>
    <row r="94" spans="7:13" ht="16.5" customHeight="1" x14ac:dyDescent="0.3">
      <c r="G94" s="21"/>
    </row>
    <row r="95" spans="7:13" ht="16.5" customHeight="1" x14ac:dyDescent="0.3">
      <c r="G95" s="21"/>
    </row>
    <row r="96" spans="7:13"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2"/>
    </row>
    <row r="110" spans="7:7" ht="16.5" hidden="1" customHeight="1" x14ac:dyDescent="0.3">
      <c r="G110" s="212"/>
    </row>
    <row r="111" spans="7:7" ht="8.1" hidden="1" customHeight="1" x14ac:dyDescent="0.3">
      <c r="G111" s="212"/>
    </row>
    <row r="112" spans="7:7" ht="16.5" hidden="1" customHeight="1" x14ac:dyDescent="0.3">
      <c r="G112" s="212"/>
    </row>
    <row r="113" spans="1:7" ht="16.5" hidden="1" customHeight="1" x14ac:dyDescent="0.3">
      <c r="G113" s="212"/>
    </row>
    <row r="114" spans="1:7" ht="16.5" hidden="1" customHeight="1" x14ac:dyDescent="0.3">
      <c r="G114" s="212"/>
    </row>
    <row r="115" spans="1:7" ht="6.75" hidden="1" customHeight="1" x14ac:dyDescent="0.3">
      <c r="G115" s="213"/>
    </row>
    <row r="116" spans="1:7" ht="16.5" hidden="1" customHeight="1" x14ac:dyDescent="0.3">
      <c r="G116" s="213"/>
    </row>
    <row r="117" spans="1:7" ht="16.5" hidden="1" customHeight="1" x14ac:dyDescent="0.3">
      <c r="G117" s="213"/>
    </row>
    <row r="118" spans="1:7" ht="16.5" hidden="1" customHeight="1" x14ac:dyDescent="0.35">
      <c r="A118" s="214"/>
      <c r="B118" s="215"/>
      <c r="C118" s="215"/>
      <c r="D118" s="215"/>
      <c r="E118" s="215"/>
      <c r="G118" s="213"/>
    </row>
    <row r="119" spans="1:7" ht="16.5" hidden="1" customHeight="1" x14ac:dyDescent="0.35">
      <c r="F119" s="215"/>
      <c r="G119" s="201"/>
    </row>
    <row r="120" spans="1:7" ht="16.5" hidden="1" customHeight="1" x14ac:dyDescent="0.3">
      <c r="G120" s="216"/>
    </row>
    <row r="121" spans="1:7" ht="16.5" hidden="1" customHeight="1" x14ac:dyDescent="0.3">
      <c r="G121" s="201"/>
    </row>
    <row r="122" spans="1:7" ht="16.5" hidden="1" customHeight="1" x14ac:dyDescent="0.3">
      <c r="G122" s="217"/>
    </row>
    <row r="123" spans="1:7" ht="16.5" hidden="1" customHeight="1" x14ac:dyDescent="0.3">
      <c r="G123" s="218"/>
    </row>
    <row r="124" spans="1:7" ht="16.5" hidden="1" customHeight="1" x14ac:dyDescent="0.3">
      <c r="G124" s="219"/>
    </row>
    <row r="125" spans="1:7" ht="16.5" hidden="1" customHeight="1" x14ac:dyDescent="0.3">
      <c r="G125" s="218"/>
    </row>
    <row r="126" spans="1:7" ht="16.5" hidden="1" customHeight="1" x14ac:dyDescent="0.3">
      <c r="G126" s="219"/>
    </row>
    <row r="127" spans="1:7" ht="16.5" hidden="1" customHeight="1" x14ac:dyDescent="0.3">
      <c r="G127" s="220"/>
    </row>
    <row r="128" spans="1:7" ht="16.5" hidden="1" customHeight="1" x14ac:dyDescent="0.3">
      <c r="G128" s="213"/>
    </row>
    <row r="129" spans="7:7" ht="18.75" hidden="1" customHeight="1" x14ac:dyDescent="0.3">
      <c r="G129" s="66"/>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6"/>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pans="9:13" s="210" customFormat="1" hidden="1" x14ac:dyDescent="0.3">
      <c r="I145" s="10"/>
      <c r="J145" s="10"/>
      <c r="K145" s="10"/>
      <c r="L145" s="10"/>
      <c r="M145" s="10"/>
    </row>
    <row r="146" spans="9:13" s="210" customFormat="1" hidden="1" x14ac:dyDescent="0.3">
      <c r="I146" s="10"/>
      <c r="J146" s="10"/>
      <c r="K146" s="10"/>
      <c r="L146" s="10"/>
      <c r="M146" s="10"/>
    </row>
    <row r="147" spans="9:13" s="210" customFormat="1" hidden="1" x14ac:dyDescent="0.3">
      <c r="I147" s="10"/>
      <c r="J147" s="10"/>
      <c r="K147" s="10"/>
      <c r="L147" s="10"/>
      <c r="M147" s="10"/>
    </row>
    <row r="148" spans="9:13" s="210" customFormat="1" hidden="1" x14ac:dyDescent="0.3">
      <c r="I148" s="10"/>
      <c r="J148" s="10"/>
      <c r="K148" s="10"/>
      <c r="L148" s="10"/>
      <c r="M148" s="10"/>
    </row>
    <row r="149" spans="9:13" s="210" customFormat="1" hidden="1" x14ac:dyDescent="0.3">
      <c r="I149" s="10"/>
      <c r="J149" s="10"/>
      <c r="K149" s="10"/>
      <c r="L149" s="10"/>
      <c r="M149" s="10"/>
    </row>
    <row r="150" spans="9:13" s="210" customFormat="1" hidden="1" x14ac:dyDescent="0.3">
      <c r="I150" s="10"/>
      <c r="J150" s="10"/>
      <c r="K150" s="10"/>
      <c r="L150" s="10"/>
      <c r="M150" s="10"/>
    </row>
    <row r="151" spans="9:13" s="210" customFormat="1" hidden="1" x14ac:dyDescent="0.3"/>
    <row r="152" spans="9:13" s="210" customFormat="1" hidden="1" x14ac:dyDescent="0.3"/>
    <row r="153" spans="9:13" s="210" customFormat="1" hidden="1" x14ac:dyDescent="0.3"/>
    <row r="154" spans="9:13" s="210" customFormat="1" hidden="1" x14ac:dyDescent="0.3"/>
    <row r="155" spans="9:13" s="210" customFormat="1" hidden="1" x14ac:dyDescent="0.3"/>
    <row r="156" spans="9:13" s="210" customFormat="1" hidden="1" x14ac:dyDescent="0.3"/>
    <row r="157" spans="9:13" s="210" customFormat="1" hidden="1" x14ac:dyDescent="0.3"/>
    <row r="158" spans="9:13" s="210" customFormat="1" hidden="1" x14ac:dyDescent="0.3"/>
    <row r="159" spans="9:13" s="210" customFormat="1" hidden="1" x14ac:dyDescent="0.3"/>
    <row r="160" spans="9:13" s="210" customFormat="1" hidden="1" x14ac:dyDescent="0.3"/>
    <row r="161" s="210" customFormat="1" hidden="1" x14ac:dyDescent="0.3"/>
    <row r="162" s="210" customFormat="1" hidden="1" x14ac:dyDescent="0.3"/>
    <row r="163" s="210" customFormat="1" hidden="1" x14ac:dyDescent="0.3"/>
    <row r="164" s="210" customFormat="1" hidden="1" x14ac:dyDescent="0.3"/>
    <row r="165" s="210" customFormat="1" hidden="1" x14ac:dyDescent="0.3"/>
    <row r="166" s="210" customFormat="1" hidden="1" x14ac:dyDescent="0.3"/>
    <row r="167" s="210" customFormat="1" hidden="1" x14ac:dyDescent="0.3"/>
    <row r="168" s="210" customFormat="1" hidden="1" x14ac:dyDescent="0.3"/>
    <row r="169" s="210" customFormat="1" hidden="1" x14ac:dyDescent="0.3"/>
    <row r="170" s="210" customFormat="1" hidden="1" x14ac:dyDescent="0.3"/>
    <row r="171" s="210" customFormat="1" hidden="1" x14ac:dyDescent="0.3"/>
    <row r="172" s="210" customFormat="1" hidden="1" x14ac:dyDescent="0.3"/>
    <row r="173" s="210" customFormat="1" hidden="1" x14ac:dyDescent="0.3"/>
    <row r="174" s="210" customFormat="1" hidden="1" x14ac:dyDescent="0.3"/>
    <row r="175" s="210" customFormat="1" hidden="1" x14ac:dyDescent="0.3"/>
    <row r="176" s="210" customFormat="1" hidden="1" x14ac:dyDescent="0.3"/>
    <row r="177" spans="9:13" s="210" customFormat="1" hidden="1" x14ac:dyDescent="0.3"/>
    <row r="178" spans="9:13" s="210" customFormat="1" hidden="1" x14ac:dyDescent="0.3"/>
    <row r="179" spans="9:13" s="210" customFormat="1" hidden="1" x14ac:dyDescent="0.3"/>
    <row r="180" spans="9:13" s="210" customFormat="1" hidden="1" x14ac:dyDescent="0.3"/>
    <row r="181" spans="9:13" s="210" customFormat="1" hidden="1" x14ac:dyDescent="0.3"/>
    <row r="182" spans="9:13" s="210" customFormat="1" hidden="1" x14ac:dyDescent="0.3"/>
    <row r="183" spans="9:13" s="210" customFormat="1" hidden="1" x14ac:dyDescent="0.3"/>
    <row r="184" spans="9:13" s="210" customFormat="1" hidden="1" x14ac:dyDescent="0.3"/>
    <row r="185" spans="9:13" s="210" customFormat="1" hidden="1" x14ac:dyDescent="0.3"/>
    <row r="186" spans="9:13" s="210" customFormat="1" hidden="1" x14ac:dyDescent="0.3"/>
    <row r="187" spans="9:13" s="210" customFormat="1" hidden="1" x14ac:dyDescent="0.3"/>
    <row r="188" spans="9:13" s="210" customFormat="1" hidden="1" x14ac:dyDescent="0.3"/>
    <row r="189" spans="9:13" x14ac:dyDescent="0.3">
      <c r="I189" s="210"/>
      <c r="J189" s="210"/>
      <c r="K189" s="210"/>
      <c r="L189" s="210"/>
      <c r="M189" s="210"/>
    </row>
    <row r="190" spans="9:13" x14ac:dyDescent="0.3">
      <c r="I190" s="210"/>
      <c r="J190" s="210"/>
      <c r="K190" s="210"/>
      <c r="L190" s="210"/>
      <c r="M190" s="210"/>
    </row>
    <row r="191" spans="9:13" x14ac:dyDescent="0.3">
      <c r="I191" s="210"/>
      <c r="J191" s="210"/>
      <c r="K191" s="210"/>
      <c r="L191" s="210"/>
      <c r="M191" s="210"/>
    </row>
    <row r="192" spans="9:13" x14ac:dyDescent="0.3">
      <c r="I192" s="210"/>
      <c r="J192" s="210"/>
      <c r="K192" s="210"/>
      <c r="L192" s="210"/>
      <c r="M192" s="210"/>
    </row>
    <row r="193" spans="9:13" x14ac:dyDescent="0.3">
      <c r="I193" s="210"/>
      <c r="J193" s="210"/>
      <c r="K193" s="210"/>
      <c r="L193" s="210"/>
      <c r="M193" s="210"/>
    </row>
    <row r="194" spans="9:13" x14ac:dyDescent="0.3">
      <c r="I194" s="210"/>
      <c r="J194" s="210"/>
      <c r="K194" s="210"/>
      <c r="L194" s="210"/>
      <c r="M194" s="210"/>
    </row>
  </sheetData>
  <sheetProtection sheet="1" objects="1" scenarios="1"/>
  <mergeCells count="16">
    <mergeCell ref="I10:M10"/>
    <mergeCell ref="U10:Y13"/>
    <mergeCell ref="A1:F3"/>
    <mergeCell ref="T2:Y2"/>
    <mergeCell ref="I4:M4"/>
    <mergeCell ref="E5:F5"/>
    <mergeCell ref="E6:F6"/>
    <mergeCell ref="I59:M59"/>
    <mergeCell ref="A14:A15"/>
    <mergeCell ref="B14:B15"/>
    <mergeCell ref="U15:Y15"/>
    <mergeCell ref="U26:Y27"/>
    <mergeCell ref="I40:M40"/>
    <mergeCell ref="U37:Y42"/>
    <mergeCell ref="I42:M42"/>
    <mergeCell ref="U44:Y46"/>
  </mergeCells>
  <conditionalFormatting sqref="E53">
    <cfRule type="expression" dxfId="0" priority="1">
      <formula>$E$53&lt;0</formula>
    </cfRule>
  </conditionalFormatting>
  <conditionalFormatting sqref="F19:F39">
    <cfRule type="dataBar" priority="3">
      <dataBar showValue="0">
        <cfvo type="min"/>
        <cfvo type="max"/>
        <color rgb="FF63C384"/>
      </dataBar>
      <extLst>
        <ext xmlns:x14="http://schemas.microsoft.com/office/spreadsheetml/2009/9/main" uri="{B025F937-C7B1-47D3-B67F-A62EFF666E3E}">
          <x14:id>{C64428C2-D91F-4EDA-9684-992717EF8E8A}</x14:id>
        </ext>
      </extLst>
    </cfRule>
  </conditionalFormatting>
  <conditionalFormatting sqref="F44:F51">
    <cfRule type="dataBar" priority="2">
      <dataBar showValue="0">
        <cfvo type="min"/>
        <cfvo type="max"/>
        <color rgb="FF63C384"/>
      </dataBar>
      <extLst>
        <ext xmlns:x14="http://schemas.microsoft.com/office/spreadsheetml/2009/9/main" uri="{B025F937-C7B1-47D3-B67F-A62EFF666E3E}">
          <x14:id>{85DC42D3-6F7B-4ACE-9342-9ABAB499F806}</x14:id>
        </ext>
      </extLst>
    </cfRule>
  </conditionalFormatting>
  <dataValidations count="1">
    <dataValidation type="list" allowBlank="1" showInputMessage="1" showErrorMessage="1" sqref="K45:K49 K51:K57 K66:K72 K62:K64" xr:uid="{0182DA0C-283A-443E-A56C-5BE859E95884}">
      <formula1>$S$33:$S$37</formula1>
    </dataValidation>
  </dataValidations>
  <hyperlinks>
    <hyperlink ref="U8" r:id="rId1" xr:uid="{0EF8E23B-5FBE-4C4E-9DA9-8CD111714E25}"/>
    <hyperlink ref="U5" r:id="rId2" xr:uid="{1802942B-C42A-4217-8159-58965B13ADD6}"/>
  </hyperlinks>
  <printOptions horizontalCentered="1"/>
  <pageMargins left="0.25" right="0.25" top="0.5" bottom="0.5" header="0.5" footer="0.5"/>
  <pageSetup scale="74" orientation="portrait" r:id="rId3"/>
  <drawing r:id="rId4"/>
  <extLst>
    <ext xmlns:x14="http://schemas.microsoft.com/office/spreadsheetml/2009/9/main" uri="{78C0D931-6437-407d-A8EE-F0AAD7539E65}">
      <x14:conditionalFormattings>
        <x14:conditionalFormatting xmlns:xm="http://schemas.microsoft.com/office/excel/2006/main">
          <x14:cfRule type="dataBar" id="{C64428C2-D91F-4EDA-9684-992717EF8E8A}">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85DC42D3-6F7B-4ACE-9342-9ABAB499F806}">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F44A-DC0C-4372-9A39-C173BD97A7A9}">
  <sheetPr>
    <tabColor rgb="FF00B0F0"/>
  </sheetPr>
  <dimension ref="A1"/>
  <sheetViews>
    <sheetView workbookViewId="0">
      <selection activeCell="V35" sqref="V35"/>
    </sheetView>
  </sheetViews>
  <sheetFormatPr defaultRowHeight="15" x14ac:dyDescent="0.25"/>
  <sheetData/>
  <sheetProtection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4CAE-5735-4915-A91A-09D3316D0E7F}">
  <dimension ref="C4:V21"/>
  <sheetViews>
    <sheetView workbookViewId="0">
      <selection activeCell="R21" sqref="R21"/>
    </sheetView>
  </sheetViews>
  <sheetFormatPr defaultRowHeight="15" x14ac:dyDescent="0.25"/>
  <cols>
    <col min="3" max="3" width="26" bestFit="1" customWidth="1"/>
    <col min="4" max="4" width="15.85546875" bestFit="1" customWidth="1"/>
    <col min="6" max="6" width="15" bestFit="1" customWidth="1"/>
    <col min="7" max="7" width="10.42578125" bestFit="1" customWidth="1"/>
    <col min="8" max="8" width="11.42578125" bestFit="1" customWidth="1"/>
    <col min="9" max="9" width="10.140625" bestFit="1" customWidth="1"/>
    <col min="10" max="10" width="6.28515625" bestFit="1" customWidth="1"/>
  </cols>
  <sheetData>
    <row r="4" spans="3:22" x14ac:dyDescent="0.25">
      <c r="F4" t="s">
        <v>604</v>
      </c>
      <c r="L4" t="s">
        <v>605</v>
      </c>
      <c r="R4" t="s">
        <v>606</v>
      </c>
    </row>
    <row r="5" spans="3:22" x14ac:dyDescent="0.25">
      <c r="C5" s="58" t="s">
        <v>460</v>
      </c>
    </row>
    <row r="6" spans="3:22" x14ac:dyDescent="0.25">
      <c r="C6" t="s">
        <v>461</v>
      </c>
      <c r="D6" t="s">
        <v>462</v>
      </c>
      <c r="F6" t="s">
        <v>463</v>
      </c>
      <c r="L6" t="s">
        <v>463</v>
      </c>
      <c r="R6" t="s">
        <v>463</v>
      </c>
    </row>
    <row r="7" spans="3:22" x14ac:dyDescent="0.25">
      <c r="C7" s="59" t="s">
        <v>464</v>
      </c>
      <c r="D7">
        <v>1</v>
      </c>
      <c r="F7" t="s">
        <v>465</v>
      </c>
      <c r="G7" t="s">
        <v>0</v>
      </c>
      <c r="H7" t="s">
        <v>1</v>
      </c>
      <c r="I7" t="s">
        <v>413</v>
      </c>
      <c r="J7" t="s">
        <v>466</v>
      </c>
      <c r="L7" t="s">
        <v>465</v>
      </c>
      <c r="M7" t="s">
        <v>0</v>
      </c>
      <c r="N7" t="s">
        <v>1</v>
      </c>
      <c r="O7" t="s">
        <v>413</v>
      </c>
      <c r="P7" t="s">
        <v>466</v>
      </c>
      <c r="R7" t="s">
        <v>465</v>
      </c>
      <c r="S7" t="s">
        <v>0</v>
      </c>
      <c r="T7" t="s">
        <v>1</v>
      </c>
      <c r="U7" t="s">
        <v>413</v>
      </c>
      <c r="V7" t="s">
        <v>466</v>
      </c>
    </row>
    <row r="8" spans="3:22" x14ac:dyDescent="0.25">
      <c r="C8" s="58" t="s">
        <v>456</v>
      </c>
      <c r="D8">
        <v>0.7</v>
      </c>
      <c r="F8">
        <f>_xlfn.XLOOKUP('Non-Irrigated Base'!Y18,$C$7:$C$11,$D$7:$D$11)</f>
        <v>1</v>
      </c>
      <c r="G8">
        <f>'Non-Irrigated Base'!U18*Manure!$F$8</f>
        <v>0</v>
      </c>
      <c r="H8">
        <f>'Non-Irrigated Base'!V18*Manure!$F$8</f>
        <v>0</v>
      </c>
      <c r="I8">
        <f>'Non-Irrigated Base'!W18*Manure!$F$8</f>
        <v>0</v>
      </c>
      <c r="J8">
        <f>'Non-Irrigated Base'!X18*Manure!$F$8</f>
        <v>0</v>
      </c>
      <c r="L8">
        <f>_xlfn.XLOOKUP('Non-Irrigated Build-Up'!Y18,$C$7:$C$11,$D$7:$D$11)</f>
        <v>1</v>
      </c>
      <c r="M8">
        <f>'Non-Irrigated Build-Up'!U18*$L$8</f>
        <v>0</v>
      </c>
      <c r="N8">
        <f>'Non-Irrigated Build-Up'!V18*$L$8</f>
        <v>0</v>
      </c>
      <c r="O8">
        <f>'Non-Irrigated Build-Up'!W18*$L$8</f>
        <v>0</v>
      </c>
      <c r="P8">
        <f>'Non-Irrigated Build-Up'!X18*$L$8</f>
        <v>0</v>
      </c>
      <c r="R8">
        <f>_xlfn.XLOOKUP('Non-Irrigated Push Production'!Y18,$C$7:$C$11,$D$7:$D$11)</f>
        <v>1</v>
      </c>
      <c r="S8">
        <f>'Non-Irrigated Push Production'!U18*$R$8</f>
        <v>0</v>
      </c>
      <c r="T8">
        <f>'Non-Irrigated Push Production'!V18*$R$8</f>
        <v>0</v>
      </c>
      <c r="U8">
        <f>'Non-Irrigated Push Production'!W18*$R$8</f>
        <v>0</v>
      </c>
      <c r="V8">
        <f>'Non-Irrigated Push Production'!X18*$R$8</f>
        <v>0</v>
      </c>
    </row>
    <row r="9" spans="3:22" x14ac:dyDescent="0.25">
      <c r="C9" s="58" t="s">
        <v>467</v>
      </c>
      <c r="D9">
        <v>0.4</v>
      </c>
      <c r="F9" t="s">
        <v>468</v>
      </c>
      <c r="L9" t="s">
        <v>468</v>
      </c>
      <c r="R9" t="s">
        <v>468</v>
      </c>
    </row>
    <row r="10" spans="3:22" x14ac:dyDescent="0.25">
      <c r="C10" s="58" t="s">
        <v>469</v>
      </c>
      <c r="D10">
        <v>0.2</v>
      </c>
      <c r="F10">
        <f>_xlfn.XLOOKUP('Non-Irrigated Base'!Y23,$C$7:$C$11,$D$7:$D$11)</f>
        <v>1</v>
      </c>
      <c r="G10">
        <f>'Non-Irrigated Base'!U23*$F$10</f>
        <v>0</v>
      </c>
      <c r="H10">
        <f>'Non-Irrigated Base'!V23*$F$10</f>
        <v>0</v>
      </c>
      <c r="I10">
        <f>'Non-Irrigated Base'!W23*$F$10</f>
        <v>0</v>
      </c>
      <c r="J10">
        <f>'Non-Irrigated Base'!X23*$F$10</f>
        <v>0</v>
      </c>
      <c r="L10">
        <f>_xlfn.XLOOKUP('Non-Irrigated Build-Up'!Y23,$C$7:$C$11,$D$7:$D$11)</f>
        <v>1</v>
      </c>
      <c r="M10">
        <f>'Non-Irrigated Build-Up'!U23*$L$10</f>
        <v>0</v>
      </c>
      <c r="N10">
        <f>'Non-Irrigated Build-Up'!V23*$L$10</f>
        <v>0</v>
      </c>
      <c r="O10">
        <f>'Non-Irrigated Build-Up'!W23*$L$10</f>
        <v>0</v>
      </c>
      <c r="P10">
        <f>'Non-Irrigated Build-Up'!X23*$L$10</f>
        <v>0</v>
      </c>
      <c r="R10">
        <f>_xlfn.XLOOKUP('Non-Irrigated Push Production'!Y23,$C$7:$C$11,$D$7:$D$11)</f>
        <v>1</v>
      </c>
      <c r="S10">
        <f>'Non-Irrigated Push Production'!U23*$R$10</f>
        <v>0</v>
      </c>
      <c r="T10">
        <f>'Non-Irrigated Push Production'!V23*$R$10</f>
        <v>0</v>
      </c>
      <c r="U10">
        <f>'Non-Irrigated Push Production'!W23*$R$10</f>
        <v>0</v>
      </c>
      <c r="V10">
        <f>'Non-Irrigated Push Production'!X23*$R$10</f>
        <v>0</v>
      </c>
    </row>
    <row r="11" spans="3:22" x14ac:dyDescent="0.25">
      <c r="C11" s="58" t="s">
        <v>459</v>
      </c>
      <c r="D11">
        <v>0.1</v>
      </c>
    </row>
    <row r="15" spans="3:22" x14ac:dyDescent="0.25">
      <c r="F15" t="s">
        <v>604</v>
      </c>
      <c r="L15" t="s">
        <v>605</v>
      </c>
      <c r="R15" t="s">
        <v>606</v>
      </c>
    </row>
    <row r="17" spans="6:22" x14ac:dyDescent="0.25">
      <c r="F17" t="s">
        <v>463</v>
      </c>
      <c r="L17" t="s">
        <v>463</v>
      </c>
      <c r="R17" t="s">
        <v>463</v>
      </c>
    </row>
    <row r="18" spans="6:22" x14ac:dyDescent="0.25">
      <c r="F18" t="s">
        <v>465</v>
      </c>
      <c r="G18" t="s">
        <v>0</v>
      </c>
      <c r="H18" t="s">
        <v>1</v>
      </c>
      <c r="I18" t="s">
        <v>413</v>
      </c>
      <c r="J18" t="s">
        <v>466</v>
      </c>
      <c r="L18" t="s">
        <v>465</v>
      </c>
      <c r="M18" t="s">
        <v>0</v>
      </c>
      <c r="N18" t="s">
        <v>1</v>
      </c>
      <c r="O18" t="s">
        <v>413</v>
      </c>
      <c r="P18" t="s">
        <v>466</v>
      </c>
      <c r="R18" t="s">
        <v>465</v>
      </c>
      <c r="S18" t="s">
        <v>0</v>
      </c>
      <c r="T18" t="s">
        <v>1</v>
      </c>
      <c r="U18" t="s">
        <v>413</v>
      </c>
      <c r="V18" t="s">
        <v>466</v>
      </c>
    </row>
    <row r="19" spans="6:22" x14ac:dyDescent="0.25">
      <c r="F19">
        <f>_xlfn.XLOOKUP('Irrigated Base'!Y18,$C$7:$C$11,$D$7:$D$11)</f>
        <v>1</v>
      </c>
      <c r="G19">
        <f>'Irrigated Base'!U18*$F$19</f>
        <v>0</v>
      </c>
      <c r="H19">
        <f>'Irrigated Base'!V18*$F$19</f>
        <v>0</v>
      </c>
      <c r="I19">
        <f>'Irrigated Base'!W18*$F$19</f>
        <v>0</v>
      </c>
      <c r="J19">
        <f>'Irrigated Base'!X18*$F$19</f>
        <v>0</v>
      </c>
      <c r="L19">
        <f>_xlfn.XLOOKUP('Irrigated Build-Up'!Y18,$C$7:$C$11,$D$7:$D$11)</f>
        <v>1</v>
      </c>
      <c r="M19">
        <f>'Irrigated Build-Up'!U18*$L$19</f>
        <v>0</v>
      </c>
      <c r="N19">
        <f>'Irrigated Build-Up'!V18*$L$19</f>
        <v>0</v>
      </c>
      <c r="O19">
        <f>'Irrigated Build-Up'!W18*$L$19</f>
        <v>0</v>
      </c>
      <c r="P19">
        <f>'Irrigated Build-Up'!X18*$L$19</f>
        <v>0</v>
      </c>
      <c r="R19">
        <f>_xlfn.XLOOKUP('Irrigated Push Production'!Y18,$C$7:$C$11,$D$7:$D$11)</f>
        <v>1</v>
      </c>
      <c r="S19">
        <f>'Irrigated Push Production'!U18*$R$19</f>
        <v>0</v>
      </c>
      <c r="T19">
        <f>'Irrigated Push Production'!V18*$R$19</f>
        <v>0</v>
      </c>
      <c r="U19">
        <f>'Irrigated Push Production'!W18*$R$19</f>
        <v>0</v>
      </c>
      <c r="V19">
        <f>'Irrigated Push Production'!X18*$R$19</f>
        <v>0</v>
      </c>
    </row>
    <row r="20" spans="6:22" x14ac:dyDescent="0.25">
      <c r="F20" t="s">
        <v>468</v>
      </c>
      <c r="L20" t="s">
        <v>468</v>
      </c>
      <c r="R20" t="s">
        <v>468</v>
      </c>
    </row>
    <row r="21" spans="6:22" x14ac:dyDescent="0.25">
      <c r="F21">
        <f>_xlfn.XLOOKUP('Irrigated Base'!Y23,$C$7:$C$11,$D$7:$D$11)</f>
        <v>1</v>
      </c>
      <c r="G21">
        <f>'Irrigated Base'!U23*$F$21</f>
        <v>0</v>
      </c>
      <c r="H21">
        <f>'Irrigated Base'!V23*$F$21</f>
        <v>0</v>
      </c>
      <c r="I21">
        <f>'Irrigated Base'!W23*$F$21</f>
        <v>0</v>
      </c>
      <c r="J21">
        <f>'Irrigated Base'!X23*$F$21</f>
        <v>0</v>
      </c>
      <c r="L21">
        <f>_xlfn.XLOOKUP('Irrigated Build-Up'!Y23,$C$7:$C$11,$D$7:$D$11)</f>
        <v>1</v>
      </c>
      <c r="M21">
        <f>'Irrigated Build-Up'!U23*$L$21</f>
        <v>0</v>
      </c>
      <c r="N21">
        <f>'Irrigated Build-Up'!V23*$L$21</f>
        <v>0</v>
      </c>
      <c r="O21">
        <f>'Irrigated Build-Up'!W23*$L$21</f>
        <v>0</v>
      </c>
      <c r="P21">
        <f>'Irrigated Build-Up'!X23*$L$21</f>
        <v>0</v>
      </c>
      <c r="R21">
        <f>_xlfn.XLOOKUP('Irrigated Push Production'!Y23,$C$7:$C$11,$D$7:$D$11)</f>
        <v>1</v>
      </c>
      <c r="S21">
        <f>'Irrigated Push Production'!U23*$R$21</f>
        <v>0</v>
      </c>
      <c r="T21">
        <f>'Irrigated Push Production'!V23*$R$21</f>
        <v>0</v>
      </c>
      <c r="U21">
        <f>'Irrigated Push Production'!W23*$R$21</f>
        <v>0</v>
      </c>
      <c r="V21">
        <f>'Irrigated Push Production'!X23*$R$21</f>
        <v>0</v>
      </c>
    </row>
  </sheetData>
  <pageMargins left="0.7" right="0.7" top="0.75" bottom="0.75" header="0.3" footer="0.3"/>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Instructions</vt:lpstr>
      <vt:lpstr>Non-Irrigated Base</vt:lpstr>
      <vt:lpstr>Non-Irrigated Build-Up</vt:lpstr>
      <vt:lpstr>Non-Irrigated Push Production</vt:lpstr>
      <vt:lpstr>Irrigated Base</vt:lpstr>
      <vt:lpstr>Irrigated Build-Up</vt:lpstr>
      <vt:lpstr>Irrigated Push Production</vt:lpstr>
      <vt:lpstr>MRTN Chart</vt:lpstr>
      <vt:lpstr>Manure</vt:lpstr>
      <vt:lpstr>Fertilizer (Base)</vt:lpstr>
      <vt:lpstr>Fertilizer (Irrigated)</vt:lpstr>
      <vt:lpstr>Fertilizer (Build Non-Irr)</vt:lpstr>
      <vt:lpstr>Fertilizer (Build Irrigated)</vt:lpstr>
      <vt:lpstr>Fertilizer (Push Non-Irrigated)</vt:lpstr>
      <vt:lpstr>Fertilizer (Push Irrigated)</vt:lpstr>
      <vt:lpstr>Chart Data</vt:lpstr>
      <vt:lpstr>Chemical Master List</vt:lpstr>
      <vt:lpstr>Instructions!Print_Area</vt:lpstr>
      <vt:lpstr>'Irrigated Base'!Print_Area</vt:lpstr>
      <vt:lpstr>'Irrigated Build-Up'!Print_Area</vt:lpstr>
      <vt:lpstr>'Irrigated Push Production'!Print_Area</vt:lpstr>
      <vt:lpstr>'Non-Irrigated Base'!Print_Area</vt:lpstr>
      <vt:lpstr>'Non-Irrigated Build-Up'!Print_Area</vt:lpstr>
      <vt:lpstr>'Non-Irrigated Push Production'!Print_Area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2026-04-10T21:10:57Z</cp:lastPrinted>
  <dcterms:created xsi:type="dcterms:W3CDTF">2018-03-23T14:51:03Z</dcterms:created>
  <dcterms:modified xsi:type="dcterms:W3CDTF">2026-04-10T21:13:22Z</dcterms:modified>
</cp:coreProperties>
</file>